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4" activeTab="1"/>
  </bookViews>
  <sheets>
    <sheet name="Historik" sheetId="1" r:id="rId1"/>
    <sheet name="Resultaträkning" sheetId="2" r:id="rId2"/>
    <sheet name="Värdering" sheetId="3" r:id="rId3"/>
    <sheet name="Avkastningskrav" sheetId="4" r:id="rId4"/>
  </sheets>
  <definedNames/>
  <calcPr fullCalcOnLoad="1"/>
</workbook>
</file>

<file path=xl/sharedStrings.xml><?xml version="1.0" encoding="utf-8"?>
<sst xmlns="http://schemas.openxmlformats.org/spreadsheetml/2006/main" count="115" uniqueCount="81">
  <si>
    <t>Resultaträkning</t>
  </si>
  <si>
    <t>Historik</t>
  </si>
  <si>
    <t>(MDKK)</t>
  </si>
  <si>
    <t>Avkastningskrav</t>
  </si>
  <si>
    <t>före skatt för ägarna</t>
  </si>
  <si>
    <t>2017/2018</t>
  </si>
  <si>
    <t>%</t>
  </si>
  <si>
    <t>2016/17</t>
  </si>
  <si>
    <t>2015/16</t>
  </si>
  <si>
    <t>2014/15</t>
  </si>
  <si>
    <t>2013/14</t>
  </si>
  <si>
    <t>2012/13</t>
  </si>
  <si>
    <t>2011/12</t>
  </si>
  <si>
    <t>Rörelsens intäkter</t>
  </si>
  <si>
    <t>Nettoomsättning</t>
  </si>
  <si>
    <t>Summa rörelsens intäkter</t>
  </si>
  <si>
    <t>Rörelsens kostnader</t>
  </si>
  <si>
    <t>Produktionskostnader</t>
  </si>
  <si>
    <t>Bruttomarginal %</t>
  </si>
  <si>
    <t>Försäljning och distribution</t>
  </si>
  <si>
    <t>Utvecklingskostnader</t>
  </si>
  <si>
    <t>Administrationskostnader</t>
  </si>
  <si>
    <t>Andra rörelsekostnader</t>
  </si>
  <si>
    <t>RÖRELSERESULTAT</t>
  </si>
  <si>
    <t>Rörelsemarginal %</t>
  </si>
  <si>
    <t>Finansiella poster</t>
  </si>
  <si>
    <t>Finansiella intäkter</t>
  </si>
  <si>
    <t>Finansiella kostnader</t>
  </si>
  <si>
    <t>RESULTAT EFTER FINANSIELLA POSTER</t>
  </si>
  <si>
    <t>Prognos</t>
  </si>
  <si>
    <t>Prognos framåt i tiden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</si>
  <si>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</si>
  <si>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</si>
  <si>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</si>
  <si>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</si>
  <si>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</si>
  <si>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</si>
  <si>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</si>
  <si>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</si>
  <si>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</si>
  <si>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</si>
  <si>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</si>
  <si>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</si>
  <si>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</si>
  <si>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</si>
  <si>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</si>
  <si>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</si>
  <si>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</si>
  <si>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2035/36</t>
  </si>
  <si>
    <t>2036/37</t>
  </si>
  <si>
    <t>2037/38</t>
  </si>
  <si>
    <t>Visualisation</t>
  </si>
  <si>
    <t>Anaesthesia och PMD</t>
  </si>
  <si>
    <t>RESULTAT EFTER FIN.POSTER</t>
  </si>
  <si>
    <t>DCF:</t>
  </si>
  <si>
    <t>VPA:</t>
  </si>
  <si>
    <t>P/E-tal vid kurs på 118 SEK:</t>
  </si>
  <si>
    <t>Företagsvärdering</t>
  </si>
  <si>
    <t>DCF - Resultaträkning</t>
  </si>
  <si>
    <t>Värde år 1 till 10</t>
  </si>
  <si>
    <t>Residualvärde</t>
  </si>
  <si>
    <t>Överlikvider, utdelningsbart vid värderingstillfälle</t>
  </si>
  <si>
    <t>Totalt värde</t>
  </si>
  <si>
    <t>Totalt antal aktier</t>
  </si>
  <si>
    <t>Värde per aktie</t>
  </si>
  <si>
    <t>Värde år 1 till 20</t>
  </si>
  <si>
    <t>Riskfri ränta</t>
  </si>
  <si>
    <t>Den riskfria räntan</t>
  </si>
  <si>
    <t>Marknadsrisk</t>
  </si>
  <si>
    <t>Riskpremie för aktiemarknaden</t>
  </si>
  <si>
    <t>Beta-värde</t>
  </si>
  <si>
    <t>Beta-värdet för den här typen av företag eller bransch, riskfaktor</t>
  </si>
  <si>
    <t>Skattesats</t>
  </si>
  <si>
    <t>Skattesatsen som skall betalas på företagets vinst</t>
  </si>
  <si>
    <t>Inflationstakt</t>
  </si>
  <si>
    <t>Inflationstakten</t>
  </si>
  <si>
    <t>Vinsttillväxt efter 20 år</t>
  </si>
  <si>
    <t>Geometrisk real tillväxt i oändlighet, aldrig högre än avkastningskrav (mellan 0-6 procent)</t>
  </si>
  <si>
    <t>Avkastningskrav före skatt</t>
  </si>
  <si>
    <t>Exklusive inflationstakt</t>
  </si>
  <si>
    <t>Exklusive inflationstakt med hänsyn till vinsttillväxt efter 10 år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</si>
</sst>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0%"/>
    <numFmt numFmtId="166" formatCode="_-* #,##0.00&quot; kr&quot;_-;\-* #,##0.00&quot; kr&quot;_-;_-* \-??&quot; kr&quot;_-;_-@_-"/>
    <numFmt numFmtId="167" formatCode="0.00%"/>
    <numFmt numFmtId="168" formatCode="@"/>
    <numFmt numFmtId="169" formatCode="#,##0.00"/>
    <numFmt numFmtId="170" formatCode="#,##0"/>
    <numFmt numFmtId="171" formatCode="#,##0.0"/>
    <numFmt numFmtId="172" formatCode="#,##0.000"/>
    <numFmt numFmtId="173" formatCode="0.0%"/>
    <numFmt numFmtId="174" formatCode="0"/>
    <numFmt numFmtId="175" formatCode="0.00"/>
    <numFmt numFmtId="176" formatCode="#,##0.000000000"/>
    <numFmt numFmtId="177" formatCode="#,##0.000000"/>
    <numFmt numFmtId="178" formatCode="0.000%"/>
  </numFmts>
  <fonts count="11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7" fontId="0" fillId="0" borderId="1" xfId="19" applyNumberFormat="1" applyFont="1" applyFill="1" applyBorder="1" applyAlignment="1" applyProtection="1">
      <alignment/>
      <protection/>
    </xf>
    <xf numFmtId="164" fontId="3" fillId="0" borderId="2" xfId="0" applyFont="1" applyBorder="1" applyAlignment="1">
      <alignment/>
    </xf>
    <xf numFmtId="164" fontId="4" fillId="0" borderId="2" xfId="0" applyFont="1" applyBorder="1" applyAlignment="1">
      <alignment horizontal="center"/>
    </xf>
    <xf numFmtId="168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3" fillId="0" borderId="0" xfId="0" applyFont="1" applyAlignment="1">
      <alignment/>
    </xf>
    <xf numFmtId="164" fontId="6" fillId="0" borderId="0" xfId="0" applyFont="1" applyAlignment="1">
      <alignment/>
    </xf>
    <xf numFmtId="169" fontId="3" fillId="2" borderId="1" xfId="17" applyNumberFormat="1" applyFont="1" applyFill="1" applyBorder="1" applyAlignment="1" applyProtection="1">
      <alignment/>
      <protection/>
    </xf>
    <xf numFmtId="167" fontId="3" fillId="0" borderId="3" xfId="19" applyNumberFormat="1" applyFont="1" applyFill="1" applyBorder="1" applyAlignment="1" applyProtection="1">
      <alignment/>
      <protection/>
    </xf>
    <xf numFmtId="167" fontId="3" fillId="0" borderId="4" xfId="19" applyNumberFormat="1" applyFont="1" applyFill="1" applyBorder="1" applyAlignment="1" applyProtection="1">
      <alignment/>
      <protection/>
    </xf>
    <xf numFmtId="169" fontId="4" fillId="0" borderId="0" xfId="0" applyNumberFormat="1" applyFont="1" applyAlignment="1">
      <alignment/>
    </xf>
    <xf numFmtId="167" fontId="4" fillId="0" borderId="0" xfId="19" applyNumberFormat="1" applyFont="1" applyFill="1" applyBorder="1" applyAlignment="1" applyProtection="1">
      <alignment/>
      <protection/>
    </xf>
    <xf numFmtId="170" fontId="4" fillId="0" borderId="0" xfId="0" applyNumberFormat="1" applyFont="1" applyAlignment="1">
      <alignment/>
    </xf>
    <xf numFmtId="165" fontId="4" fillId="0" borderId="0" xfId="19" applyFont="1" applyFill="1" applyBorder="1" applyAlignment="1" applyProtection="1">
      <alignment/>
      <protection/>
    </xf>
    <xf numFmtId="170" fontId="3" fillId="0" borderId="0" xfId="0" applyNumberFormat="1" applyFont="1" applyAlignment="1">
      <alignment/>
    </xf>
    <xf numFmtId="167" fontId="3" fillId="0" borderId="0" xfId="19" applyNumberFormat="1" applyFont="1" applyFill="1" applyBorder="1" applyAlignment="1" applyProtection="1">
      <alignment/>
      <protection/>
    </xf>
    <xf numFmtId="165" fontId="3" fillId="0" borderId="0" xfId="19" applyFont="1" applyFill="1" applyBorder="1" applyAlignment="1" applyProtection="1">
      <alignment/>
      <protection/>
    </xf>
    <xf numFmtId="169" fontId="3" fillId="2" borderId="1" xfId="0" applyNumberFormat="1" applyFont="1" applyFill="1" applyBorder="1" applyAlignment="1">
      <alignment/>
    </xf>
    <xf numFmtId="171" fontId="3" fillId="2" borderId="1" xfId="0" applyNumberFormat="1" applyFont="1" applyFill="1" applyBorder="1" applyAlignment="1">
      <alignment/>
    </xf>
    <xf numFmtId="164" fontId="7" fillId="0" borderId="0" xfId="0" applyFont="1" applyAlignment="1">
      <alignment/>
    </xf>
    <xf numFmtId="167" fontId="8" fillId="0" borderId="5" xfId="19" applyNumberFormat="1" applyFont="1" applyFill="1" applyBorder="1" applyAlignment="1" applyProtection="1">
      <alignment/>
      <protection/>
    </xf>
    <xf numFmtId="167" fontId="8" fillId="0" borderId="0" xfId="19" applyNumberFormat="1" applyFont="1" applyFill="1" applyBorder="1" applyAlignment="1" applyProtection="1">
      <alignment/>
      <protection/>
    </xf>
    <xf numFmtId="170" fontId="3" fillId="0" borderId="6" xfId="0" applyNumberFormat="1" applyFont="1" applyFill="1" applyBorder="1" applyAlignment="1">
      <alignment/>
    </xf>
    <xf numFmtId="164" fontId="5" fillId="0" borderId="7" xfId="0" applyFont="1" applyBorder="1" applyAlignment="1">
      <alignment/>
    </xf>
    <xf numFmtId="169" fontId="3" fillId="0" borderId="1" xfId="0" applyNumberFormat="1" applyFont="1" applyBorder="1" applyAlignment="1">
      <alignment/>
    </xf>
    <xf numFmtId="164" fontId="7" fillId="0" borderId="0" xfId="0" applyFont="1" applyBorder="1" applyAlignment="1">
      <alignment/>
    </xf>
    <xf numFmtId="170" fontId="0" fillId="0" borderId="0" xfId="0" applyNumberFormat="1" applyAlignment="1">
      <alignment/>
    </xf>
    <xf numFmtId="167" fontId="0" fillId="0" borderId="0" xfId="19" applyNumberFormat="1" applyFont="1" applyFill="1" applyBorder="1" applyAlignment="1" applyProtection="1">
      <alignment/>
      <protection/>
    </xf>
    <xf numFmtId="165" fontId="0" fillId="0" borderId="0" xfId="19" applyFont="1" applyFill="1" applyBorder="1" applyAlignment="1" applyProtection="1">
      <alignment/>
      <protection/>
    </xf>
    <xf numFmtId="164" fontId="6" fillId="0" borderId="0" xfId="0" applyFont="1" applyFill="1" applyBorder="1" applyAlignment="1">
      <alignment/>
    </xf>
    <xf numFmtId="164" fontId="5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64" fontId="5" fillId="0" borderId="0" xfId="0" applyFont="1" applyFill="1" applyBorder="1" applyAlignment="1">
      <alignment/>
    </xf>
    <xf numFmtId="164" fontId="3" fillId="0" borderId="2" xfId="0" applyFont="1" applyBorder="1" applyAlignment="1">
      <alignment horizontal="center"/>
    </xf>
    <xf numFmtId="165" fontId="6" fillId="3" borderId="8" xfId="19" applyFont="1" applyFill="1" applyBorder="1" applyAlignment="1" applyProtection="1">
      <alignment/>
      <protection/>
    </xf>
    <xf numFmtId="172" fontId="3" fillId="3" borderId="1" xfId="0" applyNumberFormat="1" applyFont="1" applyFill="1" applyBorder="1" applyAlignment="1">
      <alignment/>
    </xf>
    <xf numFmtId="172" fontId="3" fillId="4" borderId="9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3" fontId="6" fillId="3" borderId="9" xfId="19" applyNumberFormat="1" applyFont="1" applyFill="1" applyBorder="1" applyAlignment="1" applyProtection="1">
      <alignment/>
      <protection/>
    </xf>
    <xf numFmtId="172" fontId="3" fillId="4" borderId="1" xfId="0" applyNumberFormat="1" applyFont="1" applyFill="1" applyBorder="1" applyAlignment="1">
      <alignment/>
    </xf>
    <xf numFmtId="167" fontId="6" fillId="3" borderId="9" xfId="19" applyNumberFormat="1" applyFont="1" applyFill="1" applyBorder="1" applyAlignment="1" applyProtection="1">
      <alignment/>
      <protection/>
    </xf>
    <xf numFmtId="169" fontId="3" fillId="4" borderId="1" xfId="0" applyNumberFormat="1" applyFont="1" applyFill="1" applyBorder="1" applyAlignment="1">
      <alignment/>
    </xf>
    <xf numFmtId="164" fontId="7" fillId="0" borderId="0" xfId="0" applyFont="1" applyFill="1" applyBorder="1" applyAlignment="1">
      <alignment/>
    </xf>
    <xf numFmtId="165" fontId="6" fillId="0" borderId="0" xfId="19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70" fontId="3" fillId="4" borderId="1" xfId="0" applyNumberFormat="1" applyFont="1" applyFill="1" applyBorder="1" applyAlignment="1">
      <alignment/>
    </xf>
    <xf numFmtId="164" fontId="5" fillId="0" borderId="10" xfId="0" applyFont="1" applyBorder="1" applyAlignment="1">
      <alignment/>
    </xf>
    <xf numFmtId="167" fontId="6" fillId="0" borderId="10" xfId="19" applyNumberFormat="1" applyFont="1" applyFill="1" applyBorder="1" applyAlignment="1" applyProtection="1">
      <alignment/>
      <protection/>
    </xf>
    <xf numFmtId="169" fontId="3" fillId="4" borderId="11" xfId="0" applyNumberFormat="1" applyFont="1" applyFill="1" applyBorder="1" applyAlignment="1">
      <alignment/>
    </xf>
    <xf numFmtId="165" fontId="6" fillId="0" borderId="5" xfId="19" applyFont="1" applyFill="1" applyBorder="1" applyAlignment="1" applyProtection="1">
      <alignment/>
      <protection/>
    </xf>
    <xf numFmtId="167" fontId="8" fillId="4" borderId="5" xfId="19" applyNumberFormat="1" applyFont="1" applyFill="1" applyBorder="1" applyAlignment="1" applyProtection="1">
      <alignment/>
      <protection/>
    </xf>
    <xf numFmtId="170" fontId="3" fillId="4" borderId="0" xfId="0" applyNumberFormat="1" applyFont="1" applyFill="1" applyBorder="1" applyAlignment="1">
      <alignment/>
    </xf>
    <xf numFmtId="170" fontId="3" fillId="3" borderId="1" xfId="0" applyNumberFormat="1" applyFont="1" applyFill="1" applyBorder="1" applyAlignment="1">
      <alignment/>
    </xf>
    <xf numFmtId="167" fontId="6" fillId="3" borderId="9" xfId="19" applyNumberFormat="1" applyFont="1" applyFill="1" applyBorder="1" applyAlignment="1" applyProtection="1">
      <alignment/>
      <protection/>
    </xf>
    <xf numFmtId="170" fontId="3" fillId="0" borderId="1" xfId="0" applyNumberFormat="1" applyFont="1" applyFill="1" applyBorder="1" applyAlignment="1">
      <alignment/>
    </xf>
    <xf numFmtId="169" fontId="3" fillId="0" borderId="7" xfId="0" applyNumberFormat="1" applyFont="1" applyBorder="1" applyAlignment="1">
      <alignment/>
    </xf>
    <xf numFmtId="174" fontId="9" fillId="0" borderId="0" xfId="19" applyNumberFormat="1" applyFont="1" applyFill="1" applyBorder="1" applyAlignment="1" applyProtection="1">
      <alignment/>
      <protection/>
    </xf>
    <xf numFmtId="175" fontId="9" fillId="0" borderId="0" xfId="19" applyNumberFormat="1" applyFont="1" applyFill="1" applyBorder="1" applyAlignment="1" applyProtection="1">
      <alignment/>
      <protection/>
    </xf>
    <xf numFmtId="175" fontId="3" fillId="0" borderId="0" xfId="19" applyNumberFormat="1" applyFont="1" applyFill="1" applyBorder="1" applyAlignment="1" applyProtection="1">
      <alignment/>
      <protection/>
    </xf>
    <xf numFmtId="164" fontId="10" fillId="0" borderId="0" xfId="0" applyFont="1" applyAlignment="1">
      <alignment/>
    </xf>
    <xf numFmtId="170" fontId="0" fillId="0" borderId="0" xfId="0" applyNumberFormat="1" applyAlignment="1">
      <alignment horizontal="right"/>
    </xf>
    <xf numFmtId="170" fontId="0" fillId="5" borderId="1" xfId="0" applyNumberFormat="1" applyFill="1" applyBorder="1" applyAlignment="1">
      <alignment horizontal="right"/>
    </xf>
    <xf numFmtId="164" fontId="2" fillId="0" borderId="7" xfId="0" applyFont="1" applyBorder="1" applyAlignment="1">
      <alignment/>
    </xf>
    <xf numFmtId="170" fontId="2" fillId="0" borderId="7" xfId="0" applyNumberFormat="1" applyFont="1" applyBorder="1" applyAlignment="1">
      <alignment horizontal="right"/>
    </xf>
    <xf numFmtId="164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right"/>
    </xf>
    <xf numFmtId="169" fontId="2" fillId="0" borderId="7" xfId="0" applyNumberFormat="1" applyFont="1" applyBorder="1" applyAlignment="1">
      <alignment horizontal="right"/>
    </xf>
    <xf numFmtId="177" fontId="0" fillId="0" borderId="0" xfId="0" applyNumberFormat="1" applyAlignment="1">
      <alignment/>
    </xf>
    <xf numFmtId="178" fontId="0" fillId="2" borderId="1" xfId="19" applyNumberFormat="1" applyFont="1" applyFill="1" applyBorder="1" applyAlignment="1" applyProtection="1">
      <alignment/>
      <protection/>
    </xf>
    <xf numFmtId="165" fontId="0" fillId="2" borderId="1" xfId="19" applyFont="1" applyFill="1" applyBorder="1" applyAlignment="1" applyProtection="1">
      <alignment/>
      <protection/>
    </xf>
    <xf numFmtId="164" fontId="0" fillId="2" borderId="1" xfId="0" applyFill="1" applyBorder="1" applyAlignment="1">
      <alignment/>
    </xf>
    <xf numFmtId="164" fontId="0" fillId="0" borderId="7" xfId="0" applyFont="1" applyBorder="1" applyAlignment="1">
      <alignment/>
    </xf>
    <xf numFmtId="178" fontId="2" fillId="0" borderId="7" xfId="19" applyNumberFormat="1" applyFont="1" applyFill="1" applyBorder="1" applyAlignment="1" applyProtection="1">
      <alignment/>
      <protection/>
    </xf>
    <xf numFmtId="164" fontId="0" fillId="0" borderId="0" xfId="0" applyFont="1" applyFill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rocent 2" xfId="20"/>
    <cellStyle name="Procent 3" xfId="21"/>
    <cellStyle name="Procent 4" xfId="22"/>
    <cellStyle name="Procent 5" xfId="23"/>
    <cellStyle name="Procent 6" xfId="24"/>
    <cellStyle name="Procent 7" xfId="25"/>
    <cellStyle name="Procent 8" xfId="26"/>
    <cellStyle name="Procent 9" xfId="27"/>
    <cellStyle name="Valuta 2" xfId="28"/>
    <cellStyle name="Valuta 3" xfId="29"/>
    <cellStyle name="Valuta 4" xfId="30"/>
    <cellStyle name="Valuta 5" xfId="31"/>
    <cellStyle name="Valuta 6" xfId="32"/>
    <cellStyle name="Valuta 7" xfId="33"/>
    <cellStyle name="Valuta 8" xfId="34"/>
    <cellStyle name="Valuta 9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showGridLines="0" workbookViewId="0" topLeftCell="A1">
      <selection activeCell="B8" sqref="B8"/>
    </sheetView>
  </sheetViews>
  <sheetFormatPr defaultColWidth="9.140625" defaultRowHeight="12.75"/>
  <cols>
    <col min="1" max="1" width="41.28125" style="0" customWidth="1"/>
    <col min="2" max="2" width="8.7109375" style="0" customWidth="1"/>
    <col min="3" max="3" width="7.421875" style="0" customWidth="1"/>
    <col min="4" max="4" width="8.7109375" style="0" customWidth="1"/>
    <col min="5" max="5" width="7.7109375" style="0" customWidth="1"/>
    <col min="6" max="6" width="8.7109375" style="0" customWidth="1"/>
    <col min="7" max="7" width="7.7109375" style="0" customWidth="1"/>
  </cols>
  <sheetData>
    <row r="1" spans="1:4" ht="12.75">
      <c r="A1" s="1" t="s">
        <v>0</v>
      </c>
      <c r="B1" s="2" t="s">
        <v>1</v>
      </c>
      <c r="C1" s="2"/>
      <c r="D1" s="3" t="s">
        <v>2</v>
      </c>
    </row>
    <row r="4" spans="1:3" ht="12.75">
      <c r="A4" s="2" t="s">
        <v>3</v>
      </c>
      <c r="B4" s="4">
        <f>Avkastningskrav!B11</f>
        <v>0.08800000000000001</v>
      </c>
      <c r="C4" t="s">
        <v>4</v>
      </c>
    </row>
    <row r="6" spans="1:15" ht="12.75">
      <c r="A6" s="5"/>
      <c r="B6" s="6" t="s">
        <v>5</v>
      </c>
      <c r="C6" s="6" t="s">
        <v>6</v>
      </c>
      <c r="D6" s="6" t="s">
        <v>7</v>
      </c>
      <c r="E6" s="6" t="s">
        <v>6</v>
      </c>
      <c r="F6" s="6" t="s">
        <v>8</v>
      </c>
      <c r="G6" s="6" t="s">
        <v>6</v>
      </c>
      <c r="H6" s="6" t="s">
        <v>9</v>
      </c>
      <c r="I6" s="6" t="s">
        <v>6</v>
      </c>
      <c r="J6" s="6" t="s">
        <v>10</v>
      </c>
      <c r="K6" s="6" t="s">
        <v>6</v>
      </c>
      <c r="L6" s="6" t="s">
        <v>11</v>
      </c>
      <c r="M6" s="6" t="s">
        <v>6</v>
      </c>
      <c r="N6" s="7" t="s">
        <v>12</v>
      </c>
      <c r="O6" s="6" t="s">
        <v>6</v>
      </c>
    </row>
    <row r="7" spans="1:15" ht="12.75">
      <c r="A7" s="8" t="s">
        <v>13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2.75">
      <c r="A8" s="10" t="s">
        <v>14</v>
      </c>
      <c r="B8" s="11">
        <v>2606</v>
      </c>
      <c r="C8" s="12">
        <f>B8/B8</f>
        <v>1</v>
      </c>
      <c r="D8" s="11">
        <v>2355</v>
      </c>
      <c r="E8" s="12">
        <f>D8/D8</f>
        <v>1</v>
      </c>
      <c r="F8" s="11">
        <v>2084</v>
      </c>
      <c r="G8" s="12">
        <f>F8/F8</f>
        <v>1</v>
      </c>
      <c r="H8" s="11">
        <v>1889</v>
      </c>
      <c r="I8" s="13">
        <f>H8/H8</f>
        <v>1</v>
      </c>
      <c r="J8" s="11">
        <v>1584</v>
      </c>
      <c r="K8" s="13">
        <f>J8/J8</f>
        <v>1</v>
      </c>
      <c r="L8" s="11">
        <v>1383</v>
      </c>
      <c r="M8" s="13">
        <f>L8/L8</f>
        <v>1</v>
      </c>
      <c r="N8" s="11">
        <v>1045</v>
      </c>
      <c r="O8" s="13">
        <f>N8/N8</f>
        <v>1</v>
      </c>
    </row>
    <row r="9" spans="1:15" ht="12.75">
      <c r="A9" s="8" t="s">
        <v>15</v>
      </c>
      <c r="B9" s="14">
        <f>SUM(B8:B8)</f>
        <v>2606</v>
      </c>
      <c r="C9" s="15"/>
      <c r="D9" s="14">
        <f>SUM(D8:D8)</f>
        <v>2355</v>
      </c>
      <c r="E9" s="15"/>
      <c r="F9" s="16">
        <f>SUM(F8:F8)</f>
        <v>2084</v>
      </c>
      <c r="G9" s="17"/>
      <c r="H9" s="16">
        <f>SUM(H8:H8)</f>
        <v>1889</v>
      </c>
      <c r="I9" s="17"/>
      <c r="J9" s="16">
        <f>SUM(J8:J8)</f>
        <v>1584</v>
      </c>
      <c r="K9" s="17"/>
      <c r="L9" s="16">
        <f>SUM(L8:L8)</f>
        <v>1383</v>
      </c>
      <c r="M9" s="17"/>
      <c r="N9" s="16">
        <f>SUM(N8:N8)</f>
        <v>1045</v>
      </c>
      <c r="O9" s="17"/>
    </row>
    <row r="10" spans="1:15" ht="12.75">
      <c r="A10" s="8"/>
      <c r="B10" s="18"/>
      <c r="C10" s="19"/>
      <c r="D10" s="18"/>
      <c r="E10" s="19"/>
      <c r="F10" s="18"/>
      <c r="G10" s="20"/>
      <c r="H10" s="18"/>
      <c r="I10" s="20"/>
      <c r="J10" s="18"/>
      <c r="K10" s="20"/>
      <c r="L10" s="18"/>
      <c r="M10" s="20"/>
      <c r="N10" s="18"/>
      <c r="O10" s="20"/>
    </row>
    <row r="11" spans="1:15" ht="12.75">
      <c r="A11" s="8" t="s">
        <v>16</v>
      </c>
      <c r="B11" s="18"/>
      <c r="C11" s="19"/>
      <c r="D11" s="18"/>
      <c r="E11" s="19"/>
      <c r="F11" s="18"/>
      <c r="G11" s="20"/>
      <c r="H11" s="18"/>
      <c r="I11" s="20"/>
      <c r="J11" s="18"/>
      <c r="K11" s="20"/>
      <c r="L11" s="18"/>
      <c r="M11" s="20"/>
      <c r="N11" s="18"/>
      <c r="O11" s="20"/>
    </row>
    <row r="12" spans="1:15" ht="12.75">
      <c r="A12" s="10" t="s">
        <v>17</v>
      </c>
      <c r="B12" s="21">
        <v>1059</v>
      </c>
      <c r="C12" s="12">
        <f>(B12)/B8</f>
        <v>0.4063699155794321</v>
      </c>
      <c r="D12" s="21">
        <v>1024</v>
      </c>
      <c r="E12" s="12">
        <f>(D12)/D8</f>
        <v>0.4348195329087049</v>
      </c>
      <c r="F12" s="21">
        <v>960</v>
      </c>
      <c r="G12" s="12">
        <f>(F12)/F8</f>
        <v>0.46065259117082535</v>
      </c>
      <c r="H12" s="22">
        <v>973</v>
      </c>
      <c r="I12" s="13">
        <f>(H12)/H8</f>
        <v>0.5150873478030704</v>
      </c>
      <c r="J12" s="22">
        <v>786</v>
      </c>
      <c r="K12" s="13">
        <f>(J12)/J8</f>
        <v>0.4962121212121212</v>
      </c>
      <c r="L12" s="22">
        <v>704</v>
      </c>
      <c r="M12" s="13">
        <f>(L12)/L8</f>
        <v>0.5090383224873464</v>
      </c>
      <c r="N12" s="22">
        <v>475</v>
      </c>
      <c r="O12" s="13">
        <f>(N12)/N8</f>
        <v>0.45454545454545453</v>
      </c>
    </row>
    <row r="13" spans="1:15" ht="12.75">
      <c r="A13" s="23" t="s">
        <v>18</v>
      </c>
      <c r="B13" s="24">
        <f>(B8-B12)/B8</f>
        <v>0.593630084420568</v>
      </c>
      <c r="C13" s="25"/>
      <c r="D13" s="24">
        <f>(D8-D12)/D8</f>
        <v>0.5651804670912951</v>
      </c>
      <c r="E13" s="25"/>
      <c r="F13" s="24">
        <f>(F8-F12)/F8</f>
        <v>0.5393474088291746</v>
      </c>
      <c r="G13" s="25"/>
      <c r="H13" s="24">
        <f>(H8-H12)/H8</f>
        <v>0.4849126521969296</v>
      </c>
      <c r="I13" s="25"/>
      <c r="J13" s="24">
        <f>(J8-J12)/J8</f>
        <v>0.5037878787878788</v>
      </c>
      <c r="K13" s="25"/>
      <c r="L13" s="24">
        <f>(L8-L12)/L8</f>
        <v>0.4909616775126536</v>
      </c>
      <c r="M13" s="25"/>
      <c r="N13" s="24">
        <f>(N8-N12)/N8</f>
        <v>0.5454545454545454</v>
      </c>
      <c r="O13" s="25"/>
    </row>
    <row r="14" spans="1:15" ht="12.75">
      <c r="A14" s="10"/>
      <c r="B14" s="26"/>
      <c r="C14" s="19"/>
      <c r="D14" s="26"/>
      <c r="E14" s="19"/>
      <c r="F14" s="26"/>
      <c r="G14" s="19"/>
      <c r="H14" s="26"/>
      <c r="I14" s="19"/>
      <c r="J14" s="26"/>
      <c r="K14" s="19"/>
      <c r="L14" s="26"/>
      <c r="M14" s="19"/>
      <c r="N14" s="26"/>
      <c r="O14" s="19"/>
    </row>
    <row r="15" spans="1:15" ht="12.75">
      <c r="A15" s="10" t="s">
        <v>19</v>
      </c>
      <c r="B15" s="21">
        <v>607</v>
      </c>
      <c r="C15" s="12">
        <f>B15/B8</f>
        <v>0.23292402148887184</v>
      </c>
      <c r="D15" s="21">
        <v>539</v>
      </c>
      <c r="E15" s="12">
        <f>D15/D8</f>
        <v>0.2288747346072187</v>
      </c>
      <c r="F15" s="21">
        <v>481</v>
      </c>
      <c r="G15" s="12">
        <f>F15/F8</f>
        <v>0.23080614203454894</v>
      </c>
      <c r="H15" s="21">
        <v>382</v>
      </c>
      <c r="I15" s="13">
        <f>H15/H8</f>
        <v>0.20222339862361038</v>
      </c>
      <c r="J15" s="21">
        <v>348</v>
      </c>
      <c r="K15" s="13">
        <f>J15/J8</f>
        <v>0.2196969696969697</v>
      </c>
      <c r="L15" s="21">
        <v>292</v>
      </c>
      <c r="M15" s="13">
        <f>L15/L8</f>
        <v>0.2111352133044107</v>
      </c>
      <c r="N15" s="21">
        <v>238</v>
      </c>
      <c r="O15" s="13">
        <f>N15/N8</f>
        <v>0.22775119617224882</v>
      </c>
    </row>
    <row r="16" spans="1:15" ht="12.75">
      <c r="A16" s="10" t="s">
        <v>20</v>
      </c>
      <c r="B16" s="21">
        <v>111</v>
      </c>
      <c r="C16" s="12">
        <f>B16/B8</f>
        <v>0.04259401381427475</v>
      </c>
      <c r="D16" s="21">
        <v>76</v>
      </c>
      <c r="E16" s="12">
        <f>D16/D8</f>
        <v>0.03227176220806794</v>
      </c>
      <c r="F16" s="21">
        <v>66</v>
      </c>
      <c r="G16" s="12">
        <f>F16/F8</f>
        <v>0.03166986564299424</v>
      </c>
      <c r="H16" s="21">
        <v>54</v>
      </c>
      <c r="I16" s="13">
        <f>H16/H8</f>
        <v>0.028586553732133403</v>
      </c>
      <c r="J16" s="21">
        <v>44</v>
      </c>
      <c r="K16" s="13">
        <f>J16/J8</f>
        <v>0.027777777777777776</v>
      </c>
      <c r="L16" s="21">
        <v>33</v>
      </c>
      <c r="M16" s="13">
        <f>L16/L8</f>
        <v>0.02386117136659436</v>
      </c>
      <c r="N16" s="21">
        <v>23</v>
      </c>
      <c r="O16" s="13">
        <f>N16/N8</f>
        <v>0.02200956937799043</v>
      </c>
    </row>
    <row r="17" spans="1:15" ht="12.75">
      <c r="A17" s="10" t="s">
        <v>21</v>
      </c>
      <c r="B17" s="21">
        <v>266</v>
      </c>
      <c r="C17" s="12">
        <f>B17/B8</f>
        <v>0.10207214121258634</v>
      </c>
      <c r="D17" s="21">
        <v>256</v>
      </c>
      <c r="E17" s="12">
        <f>D17/D8</f>
        <v>0.10870488322717622</v>
      </c>
      <c r="F17" s="21">
        <v>221</v>
      </c>
      <c r="G17" s="12">
        <f>F17/F8</f>
        <v>0.10604606525911708</v>
      </c>
      <c r="H17" s="21">
        <v>239</v>
      </c>
      <c r="I17" s="13">
        <f>H17/H8</f>
        <v>0.12652196929592377</v>
      </c>
      <c r="J17" s="21">
        <v>208</v>
      </c>
      <c r="K17" s="13">
        <f>J17/J8</f>
        <v>0.13131313131313133</v>
      </c>
      <c r="L17" s="21">
        <v>192</v>
      </c>
      <c r="M17" s="13">
        <f>L17/L8</f>
        <v>0.13882863340563992</v>
      </c>
      <c r="N17" s="21">
        <v>155</v>
      </c>
      <c r="O17" s="13">
        <f>N17/N8</f>
        <v>0.14832535885167464</v>
      </c>
    </row>
    <row r="18" spans="1:15" ht="12.75">
      <c r="A18" s="10" t="s">
        <v>22</v>
      </c>
      <c r="B18" s="21">
        <v>0</v>
      </c>
      <c r="C18" s="12">
        <f>B18/B8</f>
        <v>0</v>
      </c>
      <c r="D18" s="21">
        <v>10</v>
      </c>
      <c r="E18" s="12">
        <f>D18/D8</f>
        <v>0.004246284501061571</v>
      </c>
      <c r="F18" s="21">
        <v>0</v>
      </c>
      <c r="G18" s="12">
        <f>F18/F8</f>
        <v>0</v>
      </c>
      <c r="H18" s="21">
        <v>5</v>
      </c>
      <c r="I18" s="13">
        <f>H18/H8</f>
        <v>0.0026469031233456856</v>
      </c>
      <c r="J18" s="21">
        <v>0</v>
      </c>
      <c r="K18" s="13">
        <f>J18/J8</f>
        <v>0</v>
      </c>
      <c r="L18" s="21">
        <v>65</v>
      </c>
      <c r="M18" s="13">
        <f>L18/L8</f>
        <v>0.046999276934201015</v>
      </c>
      <c r="N18" s="21">
        <v>9</v>
      </c>
      <c r="O18" s="13">
        <f>N18/N8</f>
        <v>0.00861244019138756</v>
      </c>
    </row>
    <row r="19" spans="1:15" ht="12.75">
      <c r="A19" s="27" t="s">
        <v>23</v>
      </c>
      <c r="B19" s="28">
        <f>B9-B12-SUM(B15:B18)</f>
        <v>563</v>
      </c>
      <c r="C19" s="19">
        <f>B19/B8</f>
        <v>0.216039907904835</v>
      </c>
      <c r="D19" s="28">
        <f>D9-D12-SUM(D15:D18)</f>
        <v>450</v>
      </c>
      <c r="E19" s="19">
        <f>D19/D8</f>
        <v>0.1910828025477707</v>
      </c>
      <c r="F19" s="28">
        <f>F9-F12-SUM(F15:F18)</f>
        <v>356</v>
      </c>
      <c r="G19" s="19">
        <f>F19/F8</f>
        <v>0.1708253358925144</v>
      </c>
      <c r="H19" s="28">
        <f>H9-H12-SUM(H15:H18)</f>
        <v>236</v>
      </c>
      <c r="I19" s="19">
        <f>H19/H8</f>
        <v>0.12493382742191636</v>
      </c>
      <c r="J19" s="28">
        <f>J9-J12-SUM(J15:J18)</f>
        <v>198</v>
      </c>
      <c r="K19" s="19">
        <f>J19/J8</f>
        <v>0.125</v>
      </c>
      <c r="L19" s="28">
        <f>L9-L12-SUM(L15:L18)</f>
        <v>97</v>
      </c>
      <c r="M19" s="19">
        <f>L19/L8</f>
        <v>0.07013738250180766</v>
      </c>
      <c r="N19" s="28">
        <f>N9-N12-SUM(N15:N18)</f>
        <v>145</v>
      </c>
      <c r="O19" s="19">
        <f>N19/N8</f>
        <v>0.13875598086124402</v>
      </c>
    </row>
    <row r="20" spans="1:15" ht="12.75">
      <c r="A20" s="29" t="s">
        <v>24</v>
      </c>
      <c r="B20" s="25">
        <f>B19/B8</f>
        <v>0.216039907904835</v>
      </c>
      <c r="C20" s="25"/>
      <c r="D20" s="25">
        <f>D19/D8</f>
        <v>0.1910828025477707</v>
      </c>
      <c r="E20" s="25"/>
      <c r="F20" s="25">
        <f>F19/F8</f>
        <v>0.1708253358925144</v>
      </c>
      <c r="G20" s="25"/>
      <c r="H20" s="25">
        <f>H19/H8</f>
        <v>0.12493382742191636</v>
      </c>
      <c r="I20" s="25"/>
      <c r="J20" s="25">
        <f>J19/J8</f>
        <v>0.125</v>
      </c>
      <c r="K20" s="25"/>
      <c r="L20" s="25">
        <f>L19/L8</f>
        <v>0.07013738250180766</v>
      </c>
      <c r="M20" s="25"/>
      <c r="N20" s="25">
        <f>N19/N8</f>
        <v>0.13875598086124402</v>
      </c>
      <c r="O20" s="25"/>
    </row>
    <row r="21" spans="2:15" ht="12.75">
      <c r="B21" s="30"/>
      <c r="C21" s="31"/>
      <c r="D21" s="30"/>
      <c r="E21" s="31"/>
      <c r="F21" s="30"/>
      <c r="G21" s="32"/>
      <c r="H21" s="30"/>
      <c r="I21" s="32"/>
      <c r="J21" s="30"/>
      <c r="K21" s="32"/>
      <c r="L21" s="30"/>
      <c r="M21" s="32"/>
      <c r="N21" s="30"/>
      <c r="O21" s="32"/>
    </row>
    <row r="22" spans="1:15" ht="12.75">
      <c r="A22" s="8" t="s">
        <v>25</v>
      </c>
      <c r="B22" s="30"/>
      <c r="C22" s="31"/>
      <c r="D22" s="30"/>
      <c r="E22" s="31"/>
      <c r="F22" s="30"/>
      <c r="G22" s="32"/>
      <c r="H22" s="30"/>
      <c r="I22" s="32"/>
      <c r="J22" s="30"/>
      <c r="K22" s="32"/>
      <c r="L22" s="30"/>
      <c r="M22" s="32"/>
      <c r="N22" s="30"/>
      <c r="O22" s="32"/>
    </row>
    <row r="23" spans="1:15" ht="12.75">
      <c r="A23" s="10" t="s">
        <v>26</v>
      </c>
      <c r="B23" s="21">
        <v>12</v>
      </c>
      <c r="C23" s="19">
        <f>B23/$D$8</f>
        <v>0.005095541401273885</v>
      </c>
      <c r="D23" s="21">
        <v>13</v>
      </c>
      <c r="E23" s="19">
        <f>D23/$D$8</f>
        <v>0.005520169851380042</v>
      </c>
      <c r="F23" s="21">
        <v>6</v>
      </c>
      <c r="G23" s="19">
        <f>F23/$F$8</f>
        <v>0.0028790786948176585</v>
      </c>
      <c r="H23" s="21">
        <v>52</v>
      </c>
      <c r="I23" s="19">
        <f>H23/$H$8</f>
        <v>0.02752779248279513</v>
      </c>
      <c r="J23" s="21">
        <v>64</v>
      </c>
      <c r="K23" s="19">
        <f>J23/$H$8</f>
        <v>0.03388035997882478</v>
      </c>
      <c r="L23" s="21">
        <v>0</v>
      </c>
      <c r="M23" s="19">
        <f>L23/$H$8</f>
        <v>0</v>
      </c>
      <c r="N23" s="21">
        <v>4</v>
      </c>
      <c r="O23" s="19">
        <f>N23/$H$8</f>
        <v>0.0021175224986765486</v>
      </c>
    </row>
    <row r="24" spans="1:15" ht="12.75">
      <c r="A24" s="33" t="s">
        <v>27</v>
      </c>
      <c r="B24" s="21">
        <v>110</v>
      </c>
      <c r="C24" s="19">
        <f>B24/$D$8</f>
        <v>0.04670912951167728</v>
      </c>
      <c r="D24" s="21">
        <v>70</v>
      </c>
      <c r="E24" s="19">
        <f>D24/$D$8</f>
        <v>0.029723991507430998</v>
      </c>
      <c r="F24" s="21">
        <v>36</v>
      </c>
      <c r="G24" s="19">
        <f>F24/$F$8</f>
        <v>0.01727447216890595</v>
      </c>
      <c r="H24" s="21">
        <v>73</v>
      </c>
      <c r="I24" s="19">
        <f>H24/$H$8</f>
        <v>0.03864478560084701</v>
      </c>
      <c r="J24" s="21">
        <v>54</v>
      </c>
      <c r="K24" s="19">
        <f>J24/$H$8</f>
        <v>0.028586553732133403</v>
      </c>
      <c r="L24" s="21">
        <v>30</v>
      </c>
      <c r="M24" s="19">
        <f>L24/$H$8</f>
        <v>0.015881418740074114</v>
      </c>
      <c r="N24" s="21">
        <v>5</v>
      </c>
      <c r="O24" s="19">
        <f>N24/$H$8</f>
        <v>0.0026469031233456856</v>
      </c>
    </row>
    <row r="25" spans="1:15" ht="12.75">
      <c r="A25" s="27" t="s">
        <v>28</v>
      </c>
      <c r="B25" s="28">
        <f>B19+B23-B24</f>
        <v>465</v>
      </c>
      <c r="C25" s="19">
        <f>B25/$D$8</f>
        <v>0.19745222929936307</v>
      </c>
      <c r="D25" s="28">
        <f>D19+D23-D24</f>
        <v>393</v>
      </c>
      <c r="E25" s="19">
        <f>D25/$D$8</f>
        <v>0.16687898089171974</v>
      </c>
      <c r="F25" s="28">
        <f>F19+F23-F24</f>
        <v>326</v>
      </c>
      <c r="G25" s="19">
        <f>F25/$F$8</f>
        <v>0.15642994241842612</v>
      </c>
      <c r="H25" s="28">
        <f>H19+H23-H24</f>
        <v>215</v>
      </c>
      <c r="I25" s="19">
        <f>H25/H8</f>
        <v>0.11381683430386448</v>
      </c>
      <c r="J25" s="28">
        <f>J19+J23-J24</f>
        <v>208</v>
      </c>
      <c r="K25" s="19">
        <f>J25/J8</f>
        <v>0.13131313131313133</v>
      </c>
      <c r="L25" s="28">
        <f>L19+L23-L24</f>
        <v>67</v>
      </c>
      <c r="M25" s="19">
        <f>L25/L8</f>
        <v>0.04844540853217643</v>
      </c>
      <c r="N25" s="28">
        <f>N19+N23-N24</f>
        <v>144</v>
      </c>
      <c r="O25" s="19">
        <f>N25/N8</f>
        <v>0.13779904306220095</v>
      </c>
    </row>
    <row r="26" spans="1:7" ht="12.75">
      <c r="A26" s="34"/>
      <c r="B26" s="35"/>
      <c r="C26" s="19"/>
      <c r="D26" s="35"/>
      <c r="E26" s="19"/>
      <c r="F26" s="35"/>
      <c r="G26" s="19"/>
    </row>
    <row r="27" spans="1:7" ht="12.75">
      <c r="A27" s="34"/>
      <c r="B27" s="35"/>
      <c r="C27" s="19"/>
      <c r="D27" s="35"/>
      <c r="E27" s="19"/>
      <c r="F27" s="35"/>
      <c r="G27" s="19"/>
    </row>
    <row r="28" ht="12.75">
      <c r="A28" s="36"/>
    </row>
    <row r="29" ht="12.75">
      <c r="A29" s="36"/>
    </row>
    <row r="31" ht="12.75">
      <c r="A31" s="3"/>
    </row>
    <row r="32" ht="12.75">
      <c r="A32" s="36"/>
    </row>
    <row r="33" ht="12.75">
      <c r="A33" s="36"/>
    </row>
    <row r="34" ht="12.75">
      <c r="A34" s="3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showGridLines="0" tabSelected="1" workbookViewId="0" topLeftCell="A1">
      <selection activeCell="I28" sqref="I28"/>
    </sheetView>
  </sheetViews>
  <sheetFormatPr defaultColWidth="9.140625" defaultRowHeight="12.75"/>
  <cols>
    <col min="1" max="1" width="39.8515625" style="0" customWidth="1"/>
    <col min="2" max="2" width="7.7109375" style="0" customWidth="1"/>
    <col min="3" max="12" width="8.8515625" style="0" customWidth="1"/>
    <col min="177" max="16384" width="11.57421875" style="0" customWidth="1"/>
  </cols>
  <sheetData>
    <row r="1" spans="1:4" ht="12.75">
      <c r="A1" s="1" t="s">
        <v>0</v>
      </c>
      <c r="B1" s="1"/>
      <c r="C1" s="2" t="s">
        <v>29</v>
      </c>
      <c r="D1" s="3" t="s">
        <v>2</v>
      </c>
    </row>
    <row r="2" ht="12.75">
      <c r="C2" t="s">
        <v>30</v>
      </c>
    </row>
    <row r="4" spans="1:4" ht="12.75">
      <c r="A4" s="2" t="s">
        <v>3</v>
      </c>
      <c r="B4" s="2"/>
      <c r="C4" s="4">
        <f>Avkastningskrav!B11</f>
        <v>0.08800000000000001</v>
      </c>
      <c r="D4" t="s">
        <v>4</v>
      </c>
    </row>
    <row r="6" spans="1:22" ht="12.75">
      <c r="A6" s="5"/>
      <c r="B6" s="37" t="s">
        <v>6</v>
      </c>
      <c r="C6" s="6" t="s">
        <v>31</v>
      </c>
      <c r="D6" s="6" t="s">
        <v>32</v>
      </c>
      <c r="E6" s="6" t="s">
        <v>33</v>
      </c>
      <c r="F6" s="6" t="s">
        <v>34</v>
      </c>
      <c r="G6" s="6" t="s">
        <v>35</v>
      </c>
      <c r="H6" s="6" t="s">
        <v>36</v>
      </c>
      <c r="I6" s="6" t="s">
        <v>37</v>
      </c>
      <c r="J6" s="6" t="s">
        <v>38</v>
      </c>
      <c r="K6" s="6" t="s">
        <v>39</v>
      </c>
      <c r="L6" s="6" t="s">
        <v>40</v>
      </c>
      <c r="M6" s="6" t="s">
        <v>41</v>
      </c>
      <c r="N6" s="6" t="s">
        <v>42</v>
      </c>
      <c r="O6" s="6" t="s">
        <v>43</v>
      </c>
      <c r="P6" s="6" t="s">
        <v>44</v>
      </c>
      <c r="Q6" s="6" t="s">
        <v>45</v>
      </c>
      <c r="R6" s="6" t="s">
        <v>46</v>
      </c>
      <c r="S6" s="6" t="s">
        <v>47</v>
      </c>
      <c r="T6" s="6" t="s">
        <v>48</v>
      </c>
      <c r="U6" s="6" t="s">
        <v>49</v>
      </c>
      <c r="V6" s="6" t="s">
        <v>50</v>
      </c>
    </row>
    <row r="7" spans="1:22" ht="12.75">
      <c r="A7" s="8" t="s">
        <v>13</v>
      </c>
      <c r="D7" s="38">
        <v>0.3</v>
      </c>
      <c r="E7" s="38">
        <v>0.7</v>
      </c>
      <c r="F7" s="38">
        <v>0.7</v>
      </c>
      <c r="G7" s="38">
        <v>0.7</v>
      </c>
      <c r="H7" s="38">
        <v>0.5</v>
      </c>
      <c r="I7" s="38">
        <v>0.5</v>
      </c>
      <c r="J7" s="38">
        <v>0.5</v>
      </c>
      <c r="K7" s="38">
        <v>0.5</v>
      </c>
      <c r="L7" s="38">
        <v>0.1</v>
      </c>
      <c r="M7" s="38">
        <v>0.1</v>
      </c>
      <c r="N7" s="38">
        <v>0.1</v>
      </c>
      <c r="O7" s="38">
        <v>0.1</v>
      </c>
      <c r="P7" s="38">
        <v>0.1</v>
      </c>
      <c r="Q7" s="38">
        <v>0.1</v>
      </c>
      <c r="R7" s="38">
        <v>0.1</v>
      </c>
      <c r="S7" s="38">
        <v>0.1</v>
      </c>
      <c r="T7" s="38">
        <v>0.05</v>
      </c>
      <c r="U7" s="38">
        <v>0.05</v>
      </c>
      <c r="V7" s="38">
        <v>0.05</v>
      </c>
    </row>
    <row r="8" spans="1:22" ht="12.75">
      <c r="A8" s="10" t="s">
        <v>51</v>
      </c>
      <c r="B8" s="10"/>
      <c r="C8" s="39">
        <v>1086.8</v>
      </c>
      <c r="D8" s="40">
        <f>C8*(1+D7)</f>
        <v>1412.84</v>
      </c>
      <c r="E8" s="40">
        <f>D8*(1+E7)</f>
        <v>2401.828</v>
      </c>
      <c r="F8" s="40">
        <f>E8*(1+F7)</f>
        <v>4083.1076</v>
      </c>
      <c r="G8" s="40">
        <f>F8*(1+G7)</f>
        <v>6941.28292</v>
      </c>
      <c r="H8" s="40">
        <f>G8*(1+H7)</f>
        <v>10411.92438</v>
      </c>
      <c r="I8" s="40">
        <f>H8*(1+I7)</f>
        <v>15617.88657</v>
      </c>
      <c r="J8" s="40">
        <f>I8*(1+J7)</f>
        <v>23426.829855</v>
      </c>
      <c r="K8" s="40">
        <f>J8*(1+K7)</f>
        <v>35140.2447825</v>
      </c>
      <c r="L8" s="40">
        <f>K8*(1+L7)</f>
        <v>38654.26926075</v>
      </c>
      <c r="M8" s="40">
        <f>L8*(1+M7)</f>
        <v>42519.696186825</v>
      </c>
      <c r="N8" s="40">
        <f>M8*(1+N7)</f>
        <v>46771.6658055075</v>
      </c>
      <c r="O8" s="40">
        <f>N8*(1+O7)</f>
        <v>51448.83238605825</v>
      </c>
      <c r="P8" s="40">
        <f>O8*(1+P7)</f>
        <v>56593.71562466408</v>
      </c>
      <c r="Q8" s="40">
        <f>P8*(1+Q7)</f>
        <v>62253.08718713049</v>
      </c>
      <c r="R8" s="40">
        <f>Q8*(1+R7)</f>
        <v>68478.39590584354</v>
      </c>
      <c r="S8" s="40">
        <f>R8*(1+S7)</f>
        <v>75326.23549642791</v>
      </c>
      <c r="T8" s="40">
        <f>S8*(1+T7)</f>
        <v>79092.5472712493</v>
      </c>
      <c r="U8" s="40">
        <f>T8*(1+U7)</f>
        <v>83047.17463481177</v>
      </c>
      <c r="V8" s="40">
        <f>U8*(1+V7)</f>
        <v>87199.53336655236</v>
      </c>
    </row>
    <row r="9" spans="1:22" ht="12.75">
      <c r="A9" s="10"/>
      <c r="B9" s="10"/>
      <c r="C9" s="41"/>
      <c r="D9" s="42">
        <v>0.03</v>
      </c>
      <c r="E9" s="42">
        <v>0.03</v>
      </c>
      <c r="F9" s="42">
        <v>0.03</v>
      </c>
      <c r="G9" s="42">
        <v>0.03</v>
      </c>
      <c r="H9" s="42">
        <v>0.03</v>
      </c>
      <c r="I9" s="42">
        <v>0.03</v>
      </c>
      <c r="J9" s="42">
        <v>0.03</v>
      </c>
      <c r="K9" s="42">
        <v>0.03</v>
      </c>
      <c r="L9" s="42">
        <v>0.03</v>
      </c>
      <c r="M9" s="42">
        <v>0.03</v>
      </c>
      <c r="N9" s="42">
        <v>0.03</v>
      </c>
      <c r="O9" s="42">
        <v>0.03</v>
      </c>
      <c r="P9" s="42">
        <v>0.03</v>
      </c>
      <c r="Q9" s="42">
        <v>0.03</v>
      </c>
      <c r="R9" s="42">
        <v>0.03</v>
      </c>
      <c r="S9" s="42">
        <v>0.03</v>
      </c>
      <c r="T9" s="42">
        <v>0.03</v>
      </c>
      <c r="U9" s="42">
        <v>0.03</v>
      </c>
      <c r="V9" s="42">
        <v>0.03</v>
      </c>
    </row>
    <row r="10" spans="1:22" ht="12.75">
      <c r="A10" s="10" t="s">
        <v>52</v>
      </c>
      <c r="B10" s="10"/>
      <c r="C10" s="39">
        <v>1988</v>
      </c>
      <c r="D10" s="43">
        <f>C10*(1+D9)</f>
        <v>2047.64</v>
      </c>
      <c r="E10" s="43">
        <f>D10*(1+E9)</f>
        <v>2109.0692000000004</v>
      </c>
      <c r="F10" s="43">
        <f>E10*(1+F9)</f>
        <v>2172.3412760000006</v>
      </c>
      <c r="G10" s="43">
        <f>F10*(1+G9)</f>
        <v>2237.5115142800005</v>
      </c>
      <c r="H10" s="43">
        <f>G10*(1+H9)</f>
        <v>2304.6368597084006</v>
      </c>
      <c r="I10" s="43">
        <f>H10*(1+I9)</f>
        <v>2373.7759654996526</v>
      </c>
      <c r="J10" s="43">
        <f>I10*(1+J9)</f>
        <v>2444.989244464642</v>
      </c>
      <c r="K10" s="43">
        <f>J10*(1+K9)</f>
        <v>2518.3389217985814</v>
      </c>
      <c r="L10" s="43">
        <f>K10*(1+L9)</f>
        <v>2593.889089452539</v>
      </c>
      <c r="M10" s="43">
        <f>L10*(1+M9)</f>
        <v>2671.705762136115</v>
      </c>
      <c r="N10" s="43">
        <f>M10*(1+N9)</f>
        <v>2751.8569350001985</v>
      </c>
      <c r="O10" s="43">
        <f>N10*(1+O9)</f>
        <v>2834.4126430502047</v>
      </c>
      <c r="P10" s="43">
        <f>O10*(1+P9)</f>
        <v>2919.4450223417107</v>
      </c>
      <c r="Q10" s="43">
        <f>P10*(1+Q9)</f>
        <v>3007.0283730119622</v>
      </c>
      <c r="R10" s="43">
        <f>Q10*(1+R9)</f>
        <v>3097.239224202321</v>
      </c>
      <c r="S10" s="43">
        <f>R10*(1+S9)</f>
        <v>3190.1564009283907</v>
      </c>
      <c r="T10" s="43">
        <f>S10*(1+T9)</f>
        <v>3285.8610929562424</v>
      </c>
      <c r="U10" s="43">
        <f>T10*(1+U9)</f>
        <v>3384.43692574493</v>
      </c>
      <c r="V10" s="43">
        <f>U10*(1+V9)</f>
        <v>3485.970033517278</v>
      </c>
    </row>
    <row r="11" spans="1:22" ht="12.75">
      <c r="A11" s="8" t="s">
        <v>15</v>
      </c>
      <c r="B11" s="8"/>
      <c r="C11" s="14">
        <f>C8+C10</f>
        <v>3074.8</v>
      </c>
      <c r="D11" s="14">
        <f>D8+D10</f>
        <v>3460.48</v>
      </c>
      <c r="E11" s="14">
        <f>E8+E10</f>
        <v>4510.8972</v>
      </c>
      <c r="F11" s="14">
        <f>F8+F10</f>
        <v>6255.448876</v>
      </c>
      <c r="G11" s="14">
        <f>G8+G10</f>
        <v>9178.79443428</v>
      </c>
      <c r="H11" s="14">
        <f>H8+H10</f>
        <v>12716.5612397084</v>
      </c>
      <c r="I11" s="14">
        <f>I8+I10</f>
        <v>17991.662535499654</v>
      </c>
      <c r="J11" s="14">
        <f>J8+J10</f>
        <v>25871.819099464643</v>
      </c>
      <c r="K11" s="14">
        <f>K8+K10</f>
        <v>37658.58370429858</v>
      </c>
      <c r="L11" s="14">
        <f>L8+L10</f>
        <v>41248.15835020254</v>
      </c>
      <c r="M11" s="14">
        <f>M8+M10</f>
        <v>45191.40194896112</v>
      </c>
      <c r="N11" s="14">
        <f>N8+N10</f>
        <v>49523.5227405077</v>
      </c>
      <c r="O11" s="14">
        <f>O8+O10</f>
        <v>54283.24502910846</v>
      </c>
      <c r="P11" s="14">
        <f>P8+P10</f>
        <v>59513.16064700579</v>
      </c>
      <c r="Q11" s="14">
        <f>Q8+Q10</f>
        <v>65260.115560142454</v>
      </c>
      <c r="R11" s="14">
        <f>R8+R10</f>
        <v>71575.63513004586</v>
      </c>
      <c r="S11" s="14">
        <f>S8+S10</f>
        <v>78516.3918973563</v>
      </c>
      <c r="T11" s="14">
        <f>T8+T10</f>
        <v>82378.40836420555</v>
      </c>
      <c r="U11" s="14">
        <f>U8+U10</f>
        <v>86431.6115605567</v>
      </c>
      <c r="V11" s="14">
        <f>V8+V10</f>
        <v>90685.50340006965</v>
      </c>
    </row>
    <row r="12" spans="1:22" ht="12.75">
      <c r="A12" s="8"/>
      <c r="B12" s="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ht="12.75">
      <c r="A13" s="8" t="s">
        <v>16</v>
      </c>
      <c r="B13" s="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" ht="12.75">
      <c r="A14" s="8"/>
      <c r="B14" s="8"/>
    </row>
    <row r="15" spans="1:22" ht="12.75">
      <c r="A15" s="10" t="s">
        <v>17</v>
      </c>
      <c r="B15" s="44">
        <v>0.45</v>
      </c>
      <c r="C15" s="45">
        <f>C11*$B$15</f>
        <v>1383.66</v>
      </c>
      <c r="D15" s="45">
        <f>D11*$B$15</f>
        <v>1557.2160000000001</v>
      </c>
      <c r="E15" s="45">
        <f>E11*$B$15</f>
        <v>2029.9037400000002</v>
      </c>
      <c r="F15" s="45">
        <f>F11*$B$15</f>
        <v>2814.9519942</v>
      </c>
      <c r="G15" s="45">
        <f>G11*$B$15</f>
        <v>4130.457495426001</v>
      </c>
      <c r="H15" s="45">
        <f>H11*$B$15</f>
        <v>5722.452557868781</v>
      </c>
      <c r="I15" s="45">
        <f>I11*$B$15</f>
        <v>8096.248140974844</v>
      </c>
      <c r="J15" s="45">
        <f>J11*$B$15</f>
        <v>11642.31859475909</v>
      </c>
      <c r="K15" s="45">
        <f>K11*$B$15</f>
        <v>16946.36266693436</v>
      </c>
      <c r="L15" s="45">
        <f>L11*$B$15</f>
        <v>18561.671257591144</v>
      </c>
      <c r="M15" s="45">
        <f>M11*$B$15</f>
        <v>20336.1308770325</v>
      </c>
      <c r="N15" s="45">
        <f>N11*$B$15</f>
        <v>22285.585233228467</v>
      </c>
      <c r="O15" s="45">
        <f>O11*$B$15</f>
        <v>24427.46026309881</v>
      </c>
      <c r="P15" s="45">
        <f>P11*$B$15</f>
        <v>26780.922291152605</v>
      </c>
      <c r="Q15" s="45">
        <f>Q11*$B$15</f>
        <v>29367.052002064105</v>
      </c>
      <c r="R15" s="45">
        <f>R11*$B$15</f>
        <v>32209.03580852064</v>
      </c>
      <c r="S15" s="45">
        <f>S11*$B$15</f>
        <v>35332.37635381034</v>
      </c>
      <c r="T15" s="45">
        <f>T11*$B$15</f>
        <v>37070.2837638925</v>
      </c>
      <c r="U15" s="45">
        <f>U11*$B$15</f>
        <v>38894.22520225052</v>
      </c>
      <c r="V15" s="45">
        <f>V11*$B$15</f>
        <v>40808.476530031345</v>
      </c>
    </row>
    <row r="16" spans="1:23" s="48" customFormat="1" ht="12.75">
      <c r="A16" s="46" t="s">
        <v>18</v>
      </c>
      <c r="B16" s="47"/>
      <c r="C16" s="24">
        <f>(C11-C15)/C11</f>
        <v>0.55</v>
      </c>
      <c r="D16" s="24">
        <f>(D11-D15)/D11</f>
        <v>0.5499999999999999</v>
      </c>
      <c r="E16" s="24">
        <f>(E11-E15)/E11</f>
        <v>0.55</v>
      </c>
      <c r="F16" s="24">
        <f>(F11-F15)/F11</f>
        <v>0.55</v>
      </c>
      <c r="G16" s="24">
        <f>(G11-G15)/G11</f>
        <v>0.5499999999999999</v>
      </c>
      <c r="H16" s="24">
        <f>(H11-H15)/H11</f>
        <v>0.5499999999999999</v>
      </c>
      <c r="I16" s="24">
        <f>(I11-I15)/I11</f>
        <v>0.55</v>
      </c>
      <c r="J16" s="24">
        <f>(J11-J15)/J11</f>
        <v>0.5499999999999999</v>
      </c>
      <c r="K16" s="24">
        <f>(K11-K15)/K11</f>
        <v>0.55</v>
      </c>
      <c r="L16" s="24">
        <f>(L11-L15)/L11</f>
        <v>0.5499999999999999</v>
      </c>
      <c r="M16" s="24">
        <f>(M11-M15)/M11</f>
        <v>0.55</v>
      </c>
      <c r="N16" s="24">
        <f>(N11-N15)/N11</f>
        <v>0.5499999999999999</v>
      </c>
      <c r="O16" s="24">
        <f>(O11-O15)/O11</f>
        <v>0.5499999999999999</v>
      </c>
      <c r="P16" s="24">
        <f>(P11-P15)/P11</f>
        <v>0.55</v>
      </c>
      <c r="Q16" s="24">
        <f>(Q11-Q15)/Q11</f>
        <v>0.5499999999999999</v>
      </c>
      <c r="R16" s="24">
        <f>(R11-R15)/R11</f>
        <v>0.55</v>
      </c>
      <c r="S16" s="24">
        <f>(S11-S15)/S11</f>
        <v>0.5499999999999999</v>
      </c>
      <c r="T16" s="24">
        <f>(T11-T15)/T11</f>
        <v>0.55</v>
      </c>
      <c r="U16" s="24">
        <f>(U11-U15)/U11</f>
        <v>0.5499999999999999</v>
      </c>
      <c r="V16" s="24">
        <f>(V11-V15)/V11</f>
        <v>0.5499999999999999</v>
      </c>
      <c r="W16"/>
    </row>
    <row r="17" spans="1:22" ht="12.75">
      <c r="A17" s="10"/>
      <c r="B17" s="47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ht="12.75">
      <c r="A18" s="10" t="s">
        <v>19</v>
      </c>
      <c r="B18" s="44">
        <v>0.21</v>
      </c>
      <c r="C18" s="49">
        <f>C11*$B$18</f>
        <v>645.708</v>
      </c>
      <c r="D18" s="49">
        <f>D11*$B$18</f>
        <v>726.7008</v>
      </c>
      <c r="E18" s="49">
        <f>E11*$B$18</f>
        <v>947.288412</v>
      </c>
      <c r="F18" s="49">
        <f>F11*$B$18</f>
        <v>1313.64426396</v>
      </c>
      <c r="G18" s="49">
        <f>G11*$B$18</f>
        <v>1927.5468311988</v>
      </c>
      <c r="H18" s="49">
        <f>H11*$B$18</f>
        <v>2670.477860338764</v>
      </c>
      <c r="I18" s="49">
        <f>I11*$B$18</f>
        <v>3778.2491324549273</v>
      </c>
      <c r="J18" s="49">
        <f>J11*$B$18</f>
        <v>5433.082010887575</v>
      </c>
      <c r="K18" s="49">
        <f>K11*$B$18</f>
        <v>7908.302577902701</v>
      </c>
      <c r="L18" s="49">
        <f>L11*$B$18</f>
        <v>8662.113253542533</v>
      </c>
      <c r="M18" s="49">
        <f>M11*$B$18</f>
        <v>9490.194409281834</v>
      </c>
      <c r="N18" s="49">
        <f>N11*$B$18</f>
        <v>10399.939775506617</v>
      </c>
      <c r="O18" s="49">
        <f>O11*$B$18</f>
        <v>11399.481456112777</v>
      </c>
      <c r="P18" s="49">
        <f>P11*$B$18</f>
        <v>12497.763735871215</v>
      </c>
      <c r="Q18" s="49">
        <f>Q11*$B$18</f>
        <v>13704.624267629915</v>
      </c>
      <c r="R18" s="49">
        <f>R11*$B$18</f>
        <v>15030.88337730963</v>
      </c>
      <c r="S18" s="49">
        <f>S11*$B$18</f>
        <v>16488.44229844482</v>
      </c>
      <c r="T18" s="49">
        <f>T11*$B$18</f>
        <v>17299.465756483165</v>
      </c>
      <c r="U18" s="49">
        <f>U11*$B$18</f>
        <v>18150.638427716905</v>
      </c>
      <c r="V18" s="49">
        <f>V11*$B$18</f>
        <v>19043.955714014624</v>
      </c>
    </row>
    <row r="19" spans="1:22" ht="12.75">
      <c r="A19" s="10" t="s">
        <v>20</v>
      </c>
      <c r="B19" s="44">
        <v>0.03</v>
      </c>
      <c r="C19" s="49">
        <f>C11*$B$19</f>
        <v>92.244</v>
      </c>
      <c r="D19" s="49">
        <f>D11*$B$19</f>
        <v>103.81439999999999</v>
      </c>
      <c r="E19" s="49">
        <f>E11*$B$19</f>
        <v>135.326916</v>
      </c>
      <c r="F19" s="49">
        <f>F11*$B$19</f>
        <v>187.66346628</v>
      </c>
      <c r="G19" s="49">
        <f>G11*$B$19</f>
        <v>275.3638330284</v>
      </c>
      <c r="H19" s="49">
        <f>H11*$B$19</f>
        <v>381.496837191252</v>
      </c>
      <c r="I19" s="49">
        <f>I11*$B$19</f>
        <v>539.7498760649896</v>
      </c>
      <c r="J19" s="49">
        <f>J11*$B$19</f>
        <v>776.1545729839393</v>
      </c>
      <c r="K19" s="49">
        <f>K11*$B$19</f>
        <v>1129.7575111289573</v>
      </c>
      <c r="L19" s="49">
        <f>L11*$B$19</f>
        <v>1237.4447505060762</v>
      </c>
      <c r="M19" s="49">
        <f>M11*$B$19</f>
        <v>1355.7420584688334</v>
      </c>
      <c r="N19" s="49">
        <f>N11*$B$19</f>
        <v>1485.705682215231</v>
      </c>
      <c r="O19" s="49">
        <f>O11*$B$19</f>
        <v>1628.4973508732537</v>
      </c>
      <c r="P19" s="49">
        <f>P11*$B$19</f>
        <v>1785.3948194101736</v>
      </c>
      <c r="Q19" s="49">
        <f>Q11*$B$19</f>
        <v>1957.8034668042735</v>
      </c>
      <c r="R19" s="49">
        <f>R11*$B$19</f>
        <v>2147.2690539013756</v>
      </c>
      <c r="S19" s="49">
        <f>S11*$B$19</f>
        <v>2355.4917569206887</v>
      </c>
      <c r="T19" s="49">
        <f>T11*$B$19</f>
        <v>2471.3522509261666</v>
      </c>
      <c r="U19" s="49">
        <f>U11*$B$19</f>
        <v>2592.948346816701</v>
      </c>
      <c r="V19" s="49">
        <f>V11*$B$19</f>
        <v>2720.565102002089</v>
      </c>
    </row>
    <row r="20" spans="1:22" ht="12.75">
      <c r="A20" s="10" t="s">
        <v>21</v>
      </c>
      <c r="B20" s="44">
        <v>0.1</v>
      </c>
      <c r="C20" s="45">
        <f>C11*$B$20</f>
        <v>307.48</v>
      </c>
      <c r="D20" s="45">
        <f>D11*$B$20</f>
        <v>346.048</v>
      </c>
      <c r="E20" s="45">
        <f>E11*$B$20</f>
        <v>451.08972000000006</v>
      </c>
      <c r="F20" s="45">
        <f>F11*$B$20</f>
        <v>625.5448876</v>
      </c>
      <c r="G20" s="45">
        <f>G11*$B$20</f>
        <v>917.8794434280001</v>
      </c>
      <c r="H20" s="45">
        <f>H11*$B$20</f>
        <v>1271.65612397084</v>
      </c>
      <c r="I20" s="45">
        <f>I11*$B$20</f>
        <v>1799.1662535499654</v>
      </c>
      <c r="J20" s="45">
        <f>J11*$B$20</f>
        <v>2587.1819099464647</v>
      </c>
      <c r="K20" s="45">
        <f>K11*$B$20</f>
        <v>3765.858370429858</v>
      </c>
      <c r="L20" s="45">
        <f>L11*$B$20</f>
        <v>4124.815835020254</v>
      </c>
      <c r="M20" s="45">
        <f>M11*$B$20</f>
        <v>4519.140194896112</v>
      </c>
      <c r="N20" s="45">
        <f>N11*$B$20</f>
        <v>4952.352274050771</v>
      </c>
      <c r="O20" s="45">
        <f>O11*$B$20</f>
        <v>5428.324502910847</v>
      </c>
      <c r="P20" s="45">
        <f>P11*$B$20</f>
        <v>5951.316064700579</v>
      </c>
      <c r="Q20" s="45">
        <f>Q11*$B$20</f>
        <v>6526.011556014246</v>
      </c>
      <c r="R20" s="45">
        <f>R11*$B$20</f>
        <v>7157.563513004587</v>
      </c>
      <c r="S20" s="45">
        <f>S11*$B$20</f>
        <v>7851.63918973563</v>
      </c>
      <c r="T20" s="45">
        <f>T11*$B$20</f>
        <v>8237.840836420555</v>
      </c>
      <c r="U20" s="45">
        <f>U11*$B$20</f>
        <v>8643.16115605567</v>
      </c>
      <c r="V20" s="45">
        <f>V11*$B$20</f>
        <v>9068.550340006965</v>
      </c>
    </row>
    <row r="21" spans="1:22" ht="12.75">
      <c r="A21" s="10" t="s">
        <v>22</v>
      </c>
      <c r="B21" s="44">
        <v>0</v>
      </c>
      <c r="C21" s="45">
        <f>C11*$B$21</f>
        <v>0</v>
      </c>
      <c r="D21" s="45">
        <f>D8*$B$21</f>
        <v>0</v>
      </c>
      <c r="E21" s="45">
        <f>E8*$B$21</f>
        <v>0</v>
      </c>
      <c r="F21" s="45">
        <f>F8*$B$21</f>
        <v>0</v>
      </c>
      <c r="G21" s="45">
        <f>G8*$B$21</f>
        <v>0</v>
      </c>
      <c r="H21" s="45">
        <f>H8*$B$21</f>
        <v>0</v>
      </c>
      <c r="I21" s="45">
        <f>I8*$B$21</f>
        <v>0</v>
      </c>
      <c r="J21" s="45">
        <f>J8*$B$21</f>
        <v>0</v>
      </c>
      <c r="K21" s="45">
        <f>K8*$B$21</f>
        <v>0</v>
      </c>
      <c r="L21" s="45">
        <f>L8*$B$21</f>
        <v>0</v>
      </c>
      <c r="M21" s="45">
        <f>M8*$B$21</f>
        <v>0</v>
      </c>
      <c r="N21" s="45">
        <f>N8*$B$21</f>
        <v>0</v>
      </c>
      <c r="O21" s="45">
        <f>O8*$B$21</f>
        <v>0</v>
      </c>
      <c r="P21" s="45">
        <f>P8*$B$21</f>
        <v>0</v>
      </c>
      <c r="Q21" s="45">
        <f>Q8*$B$21</f>
        <v>0</v>
      </c>
      <c r="R21" s="45">
        <f>R8*$B$21</f>
        <v>0</v>
      </c>
      <c r="S21" s="45">
        <f>S8*$B$21</f>
        <v>0</v>
      </c>
      <c r="T21" s="45">
        <f>T8*$B$21</f>
        <v>0</v>
      </c>
      <c r="U21" s="45">
        <f>U8*$B$21</f>
        <v>0</v>
      </c>
      <c r="V21" s="45">
        <f>V8*$B$21</f>
        <v>0</v>
      </c>
    </row>
    <row r="22" spans="1:22" ht="12.75">
      <c r="A22" s="50" t="s">
        <v>23</v>
      </c>
      <c r="B22" s="51"/>
      <c r="C22" s="52">
        <f>C11-C15-C18-C19-C20-C21</f>
        <v>645.7080000000002</v>
      </c>
      <c r="D22" s="52">
        <f>D11-D15-D18-D19-D20-D21</f>
        <v>726.7008000000001</v>
      </c>
      <c r="E22" s="52">
        <f>E11-E15-E18-E19-E20-E21</f>
        <v>947.2884120000002</v>
      </c>
      <c r="F22" s="52">
        <f>F11-F15-F18-F19-F20-F21</f>
        <v>1313.6442639600002</v>
      </c>
      <c r="G22" s="52">
        <f>G11-G15-G18-G19-G20-G21</f>
        <v>1927.5468311987995</v>
      </c>
      <c r="H22" s="52">
        <f>H11-H15-H18-H19-H20-H21</f>
        <v>2670.477860338764</v>
      </c>
      <c r="I22" s="52">
        <f>I11-I15-I18-I19-I20-I21</f>
        <v>3778.2491324549283</v>
      </c>
      <c r="J22" s="52">
        <f>J11-J15-J18-J19-J20-J21</f>
        <v>5433.082010887575</v>
      </c>
      <c r="K22" s="52">
        <f>K11-K15-K18-K19-K20-K21</f>
        <v>7908.302577902703</v>
      </c>
      <c r="L22" s="52">
        <f>L11-L15-L18-L19-L20-L21</f>
        <v>8662.113253542531</v>
      </c>
      <c r="M22" s="52">
        <f>M11-M15-M18-M19-M20-M21</f>
        <v>9490.194409281836</v>
      </c>
      <c r="N22" s="52">
        <f>N11-N15-N18-N19-N20-N21</f>
        <v>10399.939775506617</v>
      </c>
      <c r="O22" s="52">
        <f>O11-O15-O18-O19-O20-O21</f>
        <v>11399.481456112771</v>
      </c>
      <c r="P22" s="52">
        <f>P11-P15-P18-P19-P20-P21</f>
        <v>12497.76373587122</v>
      </c>
      <c r="Q22" s="52">
        <f>Q11-Q15-Q18-Q19-Q20-Q21</f>
        <v>13704.624267629913</v>
      </c>
      <c r="R22" s="52">
        <f>R11-R15-R18-R19-R20-R21</f>
        <v>15030.883377309632</v>
      </c>
      <c r="S22" s="52">
        <f>S11-S15-S18-S19-S20-S21</f>
        <v>16488.44229844482</v>
      </c>
      <c r="T22" s="52">
        <f>T11-T15-T18-T19-T20-T21</f>
        <v>17299.465756483165</v>
      </c>
      <c r="U22" s="52">
        <f>U11-U15-U18-U19-U20-U21</f>
        <v>18150.638427716905</v>
      </c>
      <c r="V22" s="52">
        <f>V11-V15-V18-V19-V20-V21</f>
        <v>19043.955714014624</v>
      </c>
    </row>
    <row r="23" spans="1:22" ht="12.75">
      <c r="A23" s="29" t="s">
        <v>24</v>
      </c>
      <c r="B23" s="53"/>
      <c r="C23" s="54">
        <f>C22/C11</f>
        <v>0.21000000000000005</v>
      </c>
      <c r="D23" s="54">
        <f>D22/D11</f>
        <v>0.21000000000000002</v>
      </c>
      <c r="E23" s="54">
        <f>E22/E11</f>
        <v>0.21000000000000002</v>
      </c>
      <c r="F23" s="54">
        <f>F22/F11</f>
        <v>0.21000000000000002</v>
      </c>
      <c r="G23" s="54">
        <f>G22/G11</f>
        <v>0.20999999999999994</v>
      </c>
      <c r="H23" s="54">
        <f>H22/H11</f>
        <v>0.21</v>
      </c>
      <c r="I23" s="54">
        <f>I22/I11</f>
        <v>0.21000000000000005</v>
      </c>
      <c r="J23" s="54">
        <f>J22/J11</f>
        <v>0.21</v>
      </c>
      <c r="K23" s="54">
        <f>K22/K11</f>
        <v>0.21000000000000002</v>
      </c>
      <c r="L23" s="54">
        <f>L22/L11</f>
        <v>0.20999999999999996</v>
      </c>
      <c r="M23" s="54">
        <f>M22/M11</f>
        <v>0.21000000000000002</v>
      </c>
      <c r="N23" s="54">
        <f>N22/N11</f>
        <v>0.21</v>
      </c>
      <c r="O23" s="54">
        <f>O22/O11</f>
        <v>0.2099999999999999</v>
      </c>
      <c r="P23" s="54">
        <f>P22/P11</f>
        <v>0.21000000000000008</v>
      </c>
      <c r="Q23" s="54">
        <f>Q22/Q11</f>
        <v>0.20999999999999996</v>
      </c>
      <c r="R23" s="54">
        <f>R22/R11</f>
        <v>0.21000000000000002</v>
      </c>
      <c r="S23" s="54">
        <f>S22/S11</f>
        <v>0.21</v>
      </c>
      <c r="T23" s="54">
        <f>T22/T11</f>
        <v>0.21</v>
      </c>
      <c r="U23" s="54">
        <f>U22/U11</f>
        <v>0.20999999999999996</v>
      </c>
      <c r="V23" s="54">
        <f>V22/V11</f>
        <v>0.21</v>
      </c>
    </row>
    <row r="24" spans="1:22" ht="12.75">
      <c r="A24" s="8"/>
      <c r="B24" s="47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</row>
    <row r="25" spans="1:22" ht="12.75">
      <c r="A25" s="8" t="s">
        <v>25</v>
      </c>
      <c r="B25" s="47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</row>
    <row r="26" spans="1:22" ht="12.75">
      <c r="A26" s="10" t="s">
        <v>26</v>
      </c>
      <c r="B26" s="19"/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</row>
    <row r="27" spans="1:22" ht="12.75">
      <c r="A27" s="10" t="s">
        <v>27</v>
      </c>
      <c r="B27" s="57">
        <v>0.03</v>
      </c>
      <c r="C27" s="58">
        <f>C11*$B$27</f>
        <v>92.244</v>
      </c>
      <c r="D27" s="58">
        <f>D11*$B$27</f>
        <v>103.81439999999999</v>
      </c>
      <c r="E27" s="58">
        <f>E11*$B$27</f>
        <v>135.326916</v>
      </c>
      <c r="F27" s="58">
        <f>F11*$B$27</f>
        <v>187.66346628</v>
      </c>
      <c r="G27" s="58">
        <f>G11*$B$27</f>
        <v>275.3638330284</v>
      </c>
      <c r="H27" s="58">
        <f>H11*$B$27</f>
        <v>381.496837191252</v>
      </c>
      <c r="I27" s="58">
        <f>I11*$B$27</f>
        <v>539.7498760649896</v>
      </c>
      <c r="J27" s="58">
        <f>J11*$B$27</f>
        <v>776.1545729839393</v>
      </c>
      <c r="K27" s="58">
        <f>K11*$B$27</f>
        <v>1129.7575111289573</v>
      </c>
      <c r="L27" s="58">
        <f>L11*$B$27</f>
        <v>1237.4447505060762</v>
      </c>
      <c r="M27" s="58">
        <f>M11*$B$27</f>
        <v>1355.7420584688334</v>
      </c>
      <c r="N27" s="58">
        <f>N11*$B$27</f>
        <v>1485.705682215231</v>
      </c>
      <c r="O27" s="58">
        <f>O11*$B$27</f>
        <v>1628.4973508732537</v>
      </c>
      <c r="P27" s="58">
        <f>P11*$B$27</f>
        <v>1785.3948194101736</v>
      </c>
      <c r="Q27" s="58">
        <f>Q11*$B$27</f>
        <v>1957.8034668042735</v>
      </c>
      <c r="R27" s="58">
        <f>R11*$B$27</f>
        <v>2147.2690539013756</v>
      </c>
      <c r="S27" s="58">
        <f>S11*$B$27</f>
        <v>2355.4917569206887</v>
      </c>
      <c r="T27" s="58">
        <f>T11*$B$27</f>
        <v>2471.3522509261666</v>
      </c>
      <c r="U27" s="58">
        <f>U11*$B$27</f>
        <v>2592.948346816701</v>
      </c>
      <c r="V27" s="58">
        <f>V11*$B$27</f>
        <v>2720.565102002089</v>
      </c>
    </row>
    <row r="28" spans="1:22" ht="12.75">
      <c r="A28" s="27" t="s">
        <v>53</v>
      </c>
      <c r="B28" s="27"/>
      <c r="C28" s="59">
        <f>C22+C26-C27</f>
        <v>553.4640000000002</v>
      </c>
      <c r="D28" s="59">
        <f>D22+D26-D27</f>
        <v>622.8864000000001</v>
      </c>
      <c r="E28" s="59">
        <f>E22+E26-E27</f>
        <v>811.9614960000002</v>
      </c>
      <c r="F28" s="59">
        <f>F22+F26-F27</f>
        <v>1125.9807976800003</v>
      </c>
      <c r="G28" s="59">
        <f>G22+G26-G27</f>
        <v>1652.1829981703995</v>
      </c>
      <c r="H28" s="59">
        <f>H22+H26-H27</f>
        <v>2288.981023147512</v>
      </c>
      <c r="I28" s="59">
        <f>I22+I26-I27</f>
        <v>3238.4992563899386</v>
      </c>
      <c r="J28" s="59">
        <f>J22+J26-J27</f>
        <v>4656.927437903636</v>
      </c>
      <c r="K28" s="59">
        <f>K22+K26-K27</f>
        <v>6778.545066773746</v>
      </c>
      <c r="L28" s="59">
        <f>L22+L26-L27</f>
        <v>7424.668503036455</v>
      </c>
      <c r="M28" s="59">
        <f>M22+M26-M27</f>
        <v>8134.452350813002</v>
      </c>
      <c r="N28" s="59">
        <f>N22+N26-N27</f>
        <v>8914.234093291385</v>
      </c>
      <c r="O28" s="59">
        <f>O22+O26-O27</f>
        <v>9770.984105239517</v>
      </c>
      <c r="P28" s="59">
        <f>P22+P26-P27</f>
        <v>10712.368916461046</v>
      </c>
      <c r="Q28" s="59">
        <f>Q22+Q26-Q27</f>
        <v>11746.82080082564</v>
      </c>
      <c r="R28" s="59">
        <f>R22+R26-R27</f>
        <v>12883.614323408256</v>
      </c>
      <c r="S28" s="59">
        <f>S22+S26-S27</f>
        <v>14132.950541524133</v>
      </c>
      <c r="T28" s="59">
        <f>T22+T26-T27</f>
        <v>14828.113505556998</v>
      </c>
      <c r="U28" s="59">
        <f>U22+U26-U27</f>
        <v>15557.690080900204</v>
      </c>
      <c r="V28" s="59">
        <f>V22+V26-V27</f>
        <v>16323.390612012536</v>
      </c>
    </row>
    <row r="29" spans="3:22" ht="12.75">
      <c r="C29" s="25">
        <f>C28/C11</f>
        <v>0.18000000000000005</v>
      </c>
      <c r="D29" s="25">
        <f>D28/D11</f>
        <v>0.18000000000000002</v>
      </c>
      <c r="E29" s="25">
        <f>E28/E11</f>
        <v>0.18000000000000005</v>
      </c>
      <c r="F29" s="25">
        <f>F28/F11</f>
        <v>0.18000000000000002</v>
      </c>
      <c r="G29" s="25">
        <f>G28/G11</f>
        <v>0.17999999999999994</v>
      </c>
      <c r="H29" s="25">
        <f>H28/H11</f>
        <v>0.18</v>
      </c>
      <c r="I29" s="25">
        <f>I28/I11</f>
        <v>0.18000000000000005</v>
      </c>
      <c r="J29" s="25">
        <f>J28/J11</f>
        <v>0.18000000000000002</v>
      </c>
      <c r="K29" s="25">
        <f>K28/K11</f>
        <v>0.18000000000000005</v>
      </c>
      <c r="L29" s="25">
        <f>L28/L11</f>
        <v>0.17999999999999997</v>
      </c>
      <c r="M29" s="25">
        <f>M28/M11</f>
        <v>0.18000000000000002</v>
      </c>
      <c r="N29" s="25">
        <f>N28/N11</f>
        <v>0.17999999999999997</v>
      </c>
      <c r="O29" s="25">
        <f>O28/O11</f>
        <v>0.17999999999999988</v>
      </c>
      <c r="P29" s="25">
        <f>P28/P11</f>
        <v>0.18000000000000008</v>
      </c>
      <c r="Q29" s="25">
        <f>Q28/Q11</f>
        <v>0.18</v>
      </c>
      <c r="R29" s="25">
        <f>R28/R11</f>
        <v>0.18</v>
      </c>
      <c r="S29" s="25">
        <f>S28/S11</f>
        <v>0.18</v>
      </c>
      <c r="T29" s="25">
        <f>T28/T11</f>
        <v>0.18</v>
      </c>
      <c r="U29" s="25">
        <f>U28/U11</f>
        <v>0.17999999999999997</v>
      </c>
      <c r="V29" s="25">
        <f>V28/V11</f>
        <v>0.18</v>
      </c>
    </row>
    <row r="30" spans="3:22" ht="12.75"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3:22" ht="12.75">
      <c r="C31" s="60">
        <v>1</v>
      </c>
      <c r="D31" s="60">
        <v>2</v>
      </c>
      <c r="E31" s="60">
        <v>3</v>
      </c>
      <c r="F31" s="60">
        <v>4</v>
      </c>
      <c r="G31" s="60">
        <v>5</v>
      </c>
      <c r="H31" s="60">
        <v>6</v>
      </c>
      <c r="I31" s="60">
        <v>7</v>
      </c>
      <c r="J31" s="60">
        <v>8</v>
      </c>
      <c r="K31" s="60">
        <v>9</v>
      </c>
      <c r="L31" s="60">
        <v>10</v>
      </c>
      <c r="M31" s="60">
        <v>11</v>
      </c>
      <c r="N31" s="60">
        <v>12</v>
      </c>
      <c r="O31" s="60">
        <v>13</v>
      </c>
      <c r="P31" s="60">
        <v>14</v>
      </c>
      <c r="Q31" s="60">
        <v>15</v>
      </c>
      <c r="R31" s="60">
        <v>16</v>
      </c>
      <c r="S31" s="60">
        <v>17</v>
      </c>
      <c r="T31" s="60">
        <v>18</v>
      </c>
      <c r="U31" s="60">
        <v>19</v>
      </c>
      <c r="V31" s="60">
        <v>20</v>
      </c>
    </row>
    <row r="32" spans="1:22" ht="12.75">
      <c r="A32" s="2" t="s">
        <v>54</v>
      </c>
      <c r="C32" s="61">
        <f>C28/((1+Avkastningskrav!$B$11)^C31)</f>
        <v>508.6985294117648</v>
      </c>
      <c r="D32" s="61">
        <f>D28/((1+Avkastningskrav!$B$11)^D31)</f>
        <v>526.2002595155709</v>
      </c>
      <c r="E32" s="61">
        <f>E28/((1+Avkastningskrav!$B$11)^E31)</f>
        <v>630.4472417227731</v>
      </c>
      <c r="F32" s="61">
        <f>F28/((1+Avkastningskrav!$B$11)^F31)</f>
        <v>803.5546206298701</v>
      </c>
      <c r="G32" s="61">
        <f>G28/((1+Avkastningskrav!$B$11)^G31)</f>
        <v>1083.711474882313</v>
      </c>
      <c r="H32" s="61">
        <f>H28/((1+Avkastningskrav!$B$11)^H31)</f>
        <v>1379.9673781640151</v>
      </c>
      <c r="I32" s="61">
        <f>I28/((1+Avkastningskrav!$B$11)^I31)</f>
        <v>1794.492031331285</v>
      </c>
      <c r="J32" s="61">
        <f>J28/((1+Avkastningskrav!$B$11)^J31)</f>
        <v>2371.7467170776313</v>
      </c>
      <c r="K32" s="61">
        <f>K28/((1+Avkastningskrav!$B$11)^K31)</f>
        <v>3173.0464482943416</v>
      </c>
      <c r="L32" s="61">
        <f>L28/((1+Avkastningskrav!$B$11)^L31)</f>
        <v>3194.3913001657256</v>
      </c>
      <c r="M32" s="61">
        <f>M28/((1+Avkastningskrav!$B$11)^M31)</f>
        <v>3216.6993444009636</v>
      </c>
      <c r="N32" s="61">
        <f>N28/((1+Avkastningskrav!$B$11)^N31)</f>
        <v>3239.942407818581</v>
      </c>
      <c r="O32" s="61">
        <f>O28/((1+Avkastningskrav!$B$11)^O31)</f>
        <v>3264.0940747060176</v>
      </c>
      <c r="P32" s="61">
        <f>P28/((1+Avkastningskrav!$B$11)^P31)</f>
        <v>3289.129595950025</v>
      </c>
      <c r="Q32" s="61">
        <f>Q28/((1+Avkastningskrav!$B$11)^Q31)</f>
        <v>3315.0258030422992</v>
      </c>
      <c r="R32" s="61">
        <f>R28/((1+Avkastningskrav!$B$11)^R31)</f>
        <v>3341.7610267008486</v>
      </c>
      <c r="S32" s="61">
        <f>S28/((1+Avkastningskrav!$B$11)^S31)</f>
        <v>3369.3150198612952</v>
      </c>
      <c r="T32" s="61">
        <f>T28/((1+Avkastningskrav!$B$11)^T31)</f>
        <v>3249.1202528391036</v>
      </c>
      <c r="U32" s="61">
        <f>U28/((1+Avkastningskrav!$B$11)^U31)</f>
        <v>3133.257615671137</v>
      </c>
      <c r="V32" s="61">
        <f>V28/((1+Avkastningskrav!$B$11)^V31)</f>
        <v>3021.5686509269913</v>
      </c>
    </row>
    <row r="33" spans="1:22" ht="12.75">
      <c r="A33" s="2" t="s">
        <v>55</v>
      </c>
      <c r="C33" s="62">
        <f>(C28*0.75)/Värdering!$B$8</f>
        <v>1.648983671368008</v>
      </c>
      <c r="D33" s="62">
        <f>(D28*0.75)/Värdering!$B$8</f>
        <v>1.8558198956340457</v>
      </c>
      <c r="E33" s="62">
        <f>(E28*0.75)/Värdering!$B$8</f>
        <v>2.4191478554766705</v>
      </c>
      <c r="F33" s="62">
        <f>(F28*0.75)/Värdering!$B$8</f>
        <v>3.3547330081960967</v>
      </c>
      <c r="G33" s="62">
        <f>(G28*0.75)/Värdering!$B$8</f>
        <v>4.922493217435691</v>
      </c>
      <c r="H33" s="62">
        <f>(H28*0.75)/Värdering!$B$8</f>
        <v>6.819761233325894</v>
      </c>
      <c r="I33" s="62">
        <f>(I28*0.75)/Värdering!$B$8</f>
        <v>9.648743899376369</v>
      </c>
      <c r="J33" s="62">
        <f>(J28*0.75)/Värdering!$B$8</f>
        <v>13.874790959933703</v>
      </c>
      <c r="K33" s="62">
        <f>(K28*0.75)/Värdering!$B$8</f>
        <v>20.195911804095783</v>
      </c>
      <c r="L33" s="62">
        <f>(L28*0.75)/Värdering!$B$8</f>
        <v>22.12096383292764</v>
      </c>
      <c r="M33" s="62">
        <f>(M28*0.75)/Värdering!$B$8</f>
        <v>24.235684890095374</v>
      </c>
      <c r="N33" s="62">
        <f>(N28*0.75)/Värdering!$B$8</f>
        <v>26.558956793196103</v>
      </c>
      <c r="O33" s="62">
        <f>(O28*0.75)/Värdering!$B$8</f>
        <v>29.111546989029648</v>
      </c>
      <c r="P33" s="62">
        <f>(P28*0.75)/Värdering!$B$8</f>
        <v>31.916297039942002</v>
      </c>
      <c r="Q33" s="62">
        <f>(Q28*0.75)/Värdering!$B$8</f>
        <v>34.998329956505835</v>
      </c>
      <c r="R33" s="62">
        <f>(R28*0.75)/Värdering!$B$8</f>
        <v>38.38527826110315</v>
      </c>
      <c r="S33" s="62">
        <f>(S28*0.75)/Värdering!$B$8</f>
        <v>42.107534855428604</v>
      </c>
      <c r="T33" s="62">
        <f>(T28*0.75)/Värdering!$B$8</f>
        <v>44.178694635703344</v>
      </c>
      <c r="U33" s="62">
        <f>(U28*0.75)/Värdering!$B$8</f>
        <v>46.352385896116914</v>
      </c>
      <c r="V33" s="62">
        <f>(V28*0.75)/Värdering!$B$8</f>
        <v>48.63370441541004</v>
      </c>
    </row>
    <row r="34" spans="1:22" ht="12.75">
      <c r="A34" s="2" t="s">
        <v>56</v>
      </c>
      <c r="C34" s="62">
        <f>118/C33</f>
        <v>71.55922890498145</v>
      </c>
      <c r="D34" s="62">
        <f>118/D33</f>
        <v>63.58375631040694</v>
      </c>
      <c r="E34" s="62">
        <f>118/E33</f>
        <v>48.77750639873527</v>
      </c>
      <c r="F34" s="62">
        <f>118/F33</f>
        <v>35.17418516218995</v>
      </c>
      <c r="G34" s="62">
        <f>118/G33</f>
        <v>23.971592196823902</v>
      </c>
      <c r="H34" s="62">
        <f>118/H33</f>
        <v>17.302658548128257</v>
      </c>
      <c r="I34" s="62">
        <f>118/I33</f>
        <v>12.229571147351807</v>
      </c>
      <c r="J34" s="62">
        <f>118/J33</f>
        <v>8.504632634880709</v>
      </c>
      <c r="K34" s="62">
        <f>118/K33</f>
        <v>5.842766652212717</v>
      </c>
      <c r="L34" s="62">
        <f>118/L33</f>
        <v>5.334306447549717</v>
      </c>
      <c r="M34" s="62">
        <f>118/M33</f>
        <v>4.868853532925087</v>
      </c>
      <c r="N34" s="62">
        <f>118/N33</f>
        <v>4.442945591531267</v>
      </c>
      <c r="O34" s="62">
        <f>118/O33</f>
        <v>4.053374423711214</v>
      </c>
      <c r="P34" s="62">
        <f>118/P33</f>
        <v>3.6971707542490786</v>
      </c>
      <c r="Q34" s="62">
        <f>118/Q33</f>
        <v>3.371589448600675</v>
      </c>
      <c r="R34" s="62">
        <f>118/R33</f>
        <v>3.0740952090367575</v>
      </c>
      <c r="S34" s="62">
        <f>118/S33</f>
        <v>2.802348805389332</v>
      </c>
      <c r="T34" s="62">
        <f>118/T33</f>
        <v>2.6709707240792357</v>
      </c>
      <c r="U34" s="62">
        <f>118/U33</f>
        <v>2.54571577533154</v>
      </c>
      <c r="V34" s="62">
        <f>118/V33</f>
        <v>2.4263008836853195</v>
      </c>
    </row>
    <row r="35" ht="12.75">
      <c r="G35" s="31"/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B8" sqref="B8"/>
    </sheetView>
  </sheetViews>
  <sheetFormatPr defaultColWidth="9.140625" defaultRowHeight="12.75"/>
  <cols>
    <col min="1" max="1" width="40.140625" style="0" customWidth="1"/>
    <col min="2" max="2" width="15.57421875" style="0" customWidth="1"/>
    <col min="5" max="5" width="11.00390625" style="0" customWidth="1"/>
    <col min="7" max="7" width="9.57421875" style="0" customWidth="1"/>
  </cols>
  <sheetData>
    <row r="1" spans="1:2" ht="12.75">
      <c r="A1" s="1" t="s">
        <v>57</v>
      </c>
      <c r="B1" t="s">
        <v>2</v>
      </c>
    </row>
    <row r="2" ht="12.75">
      <c r="A2" s="1"/>
    </row>
    <row r="3" ht="12.75">
      <c r="A3" s="63" t="s">
        <v>58</v>
      </c>
    </row>
    <row r="4" spans="1:2" ht="12.75">
      <c r="A4" t="s">
        <v>59</v>
      </c>
      <c r="B4" s="64">
        <f>SUM(Resultaträkning!C32:L32)</f>
        <v>15466.256001195288</v>
      </c>
    </row>
    <row r="5" spans="1:2" ht="12.75">
      <c r="A5" t="s">
        <v>60</v>
      </c>
      <c r="B5" s="64">
        <f>((Resultaträkning!L32)/Avkastningskrav!B12)/((1+Avkastningskrav!B11)^10)</f>
        <v>20211.11383111366</v>
      </c>
    </row>
    <row r="6" spans="1:2" ht="12.75">
      <c r="A6" t="s">
        <v>61</v>
      </c>
      <c r="B6" s="65">
        <v>0</v>
      </c>
    </row>
    <row r="7" spans="1:2" ht="12.75">
      <c r="A7" s="66" t="s">
        <v>62</v>
      </c>
      <c r="B7" s="67">
        <f>SUM(B4:B6)</f>
        <v>35677.36983230895</v>
      </c>
    </row>
    <row r="8" spans="1:3" ht="12.75">
      <c r="A8" s="68" t="s">
        <v>63</v>
      </c>
      <c r="B8" s="69">
        <v>251.7296</v>
      </c>
      <c r="C8" s="3"/>
    </row>
    <row r="9" spans="1:2" ht="12.75">
      <c r="A9" s="66" t="s">
        <v>64</v>
      </c>
      <c r="B9" s="70">
        <f>B7/B8</f>
        <v>141.72894181816102</v>
      </c>
    </row>
    <row r="11" ht="12.75">
      <c r="A11" s="63" t="s">
        <v>58</v>
      </c>
    </row>
    <row r="12" spans="1:2" ht="12.75">
      <c r="A12" t="s">
        <v>65</v>
      </c>
      <c r="B12" s="64">
        <f>SUM(Resultaträkning!C32:V32)</f>
        <v>47906.16979311254</v>
      </c>
    </row>
    <row r="13" spans="1:7" ht="12.75">
      <c r="A13" t="s">
        <v>60</v>
      </c>
      <c r="B13" s="64">
        <f>((Resultaträkning!V32)/Avkastningskrav!B12)/((1+Avkastningskrav!B11)^20)</f>
        <v>8225.184454691082</v>
      </c>
      <c r="G13" s="71"/>
    </row>
    <row r="14" spans="1:2" ht="12.75">
      <c r="A14" t="s">
        <v>61</v>
      </c>
      <c r="B14" s="65">
        <v>0</v>
      </c>
    </row>
    <row r="15" spans="1:3" ht="12.75">
      <c r="A15" s="66" t="s">
        <v>62</v>
      </c>
      <c r="B15" s="67">
        <f>SUM(B12:B14)</f>
        <v>56131.35424780362</v>
      </c>
      <c r="C15" s="3"/>
    </row>
    <row r="16" spans="1:2" ht="12.75">
      <c r="A16" s="68" t="s">
        <v>63</v>
      </c>
      <c r="B16" s="69">
        <v>251.7296</v>
      </c>
    </row>
    <row r="17" spans="1:2" ht="12.75">
      <c r="A17" s="66" t="s">
        <v>64</v>
      </c>
      <c r="B17" s="70">
        <f>B15/B16</f>
        <v>222.9827332495011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showGridLines="0" workbookViewId="0" topLeftCell="A1">
      <selection activeCell="B12" sqref="B12"/>
    </sheetView>
  </sheetViews>
  <sheetFormatPr defaultColWidth="9.140625" defaultRowHeight="12.75"/>
  <cols>
    <col min="1" max="1" width="26.140625" style="0" customWidth="1"/>
    <col min="2" max="2" width="12.00390625" style="0" customWidth="1"/>
    <col min="4" max="4" width="10.28125" style="0" customWidth="1"/>
  </cols>
  <sheetData>
    <row r="1" ht="12.75">
      <c r="A1" s="1" t="s">
        <v>3</v>
      </c>
    </row>
    <row r="4" spans="1:3" ht="12.75">
      <c r="A4" t="s">
        <v>66</v>
      </c>
      <c r="B4" s="72">
        <v>0.04</v>
      </c>
      <c r="C4" t="s">
        <v>67</v>
      </c>
    </row>
    <row r="5" spans="1:3" ht="12.75">
      <c r="A5" t="s">
        <v>68</v>
      </c>
      <c r="B5" s="73">
        <v>0.04</v>
      </c>
      <c r="C5" s="3" t="s">
        <v>69</v>
      </c>
    </row>
    <row r="6" spans="1:3" ht="12.75">
      <c r="A6" t="s">
        <v>70</v>
      </c>
      <c r="B6" s="74">
        <v>1.15</v>
      </c>
      <c r="C6" t="s">
        <v>71</v>
      </c>
    </row>
    <row r="7" spans="1:3" ht="12.75">
      <c r="A7" t="s">
        <v>72</v>
      </c>
      <c r="B7" s="73">
        <v>0.25</v>
      </c>
      <c r="C7" t="s">
        <v>73</v>
      </c>
    </row>
    <row r="8" spans="1:3" ht="12.75">
      <c r="A8" s="3" t="s">
        <v>74</v>
      </c>
      <c r="B8" s="72">
        <v>0.02</v>
      </c>
      <c r="C8" s="3" t="s">
        <v>75</v>
      </c>
    </row>
    <row r="9" spans="1:3" ht="12.75">
      <c r="A9" s="3" t="s">
        <v>76</v>
      </c>
      <c r="B9" s="72">
        <v>0.02</v>
      </c>
      <c r="C9" s="3" t="s">
        <v>77</v>
      </c>
    </row>
    <row r="11" spans="1:3" ht="12.75">
      <c r="A11" s="75" t="s">
        <v>78</v>
      </c>
      <c r="B11" s="76">
        <f>((B4-B8+B6*(B5))/(1-B7))</f>
        <v>0.08800000000000001</v>
      </c>
      <c r="C11" s="3" t="s">
        <v>79</v>
      </c>
    </row>
    <row r="12" spans="1:3" ht="12.75">
      <c r="A12" s="75" t="s">
        <v>78</v>
      </c>
      <c r="B12" s="76">
        <f>((B4-B8+B6*(B5))/(1-B7))-B9</f>
        <v>0.068</v>
      </c>
      <c r="C12" s="77" t="s">
        <v>80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Aktievärdering HMS</dc:title>
  <dc:subject>Aktievärdering HMS</dc:subject>
  <dc:creator>Fabian Svensson</dc:creator>
  <cp:keywords>Aktievärdering HMS Networks, riktkurs HMS Networks</cp:keywords>
  <dc:description>Det här är en aktievärdering av HMS Networks AB.</dc:description>
  <cp:lastModifiedBy>Fredrik Stigsson</cp:lastModifiedBy>
  <cp:lastPrinted>2006-05-24T14:37:53Z</cp:lastPrinted>
  <dcterms:created xsi:type="dcterms:W3CDTF">2006-05-24T13:45:37Z</dcterms:created>
  <dcterms:modified xsi:type="dcterms:W3CDTF">2019-09-11T12:28:33Z</dcterms:modified>
  <cp:category/>
  <cp:version/>
  <cp:contentType/>
  <cp:contentStatus/>
  <cp:revision>10</cp:revision>
</cp:coreProperties>
</file>