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8" activeTab="1"/>
  </bookViews>
  <sheets>
    <sheet name="Historik" sheetId="1" r:id="rId1"/>
    <sheet name="Resultaträkning" sheetId="2" r:id="rId2"/>
    <sheet name="Värdering" sheetId="3" r:id="rId3"/>
    <sheet name="Avkastningskrav" sheetId="4" r:id="rId4"/>
  </sheets>
  <definedNames/>
  <calcPr fullCalcOnLoad="1"/>
</workbook>
</file>

<file path=xl/sharedStrings.xml><?xml version="1.0" encoding="utf-8"?>
<sst xmlns="http://schemas.openxmlformats.org/spreadsheetml/2006/main" count="115" uniqueCount="76">
  <si>
    <t>Resultaträkning</t>
  </si>
  <si>
    <t>Historik</t>
  </si>
  <si>
    <t>(TSEK)</t>
  </si>
  <si>
    <t>Avkastningskrav</t>
  </si>
  <si>
    <t>före skatt för ägarna</t>
  </si>
  <si>
    <t>%</t>
  </si>
  <si>
    <t>Rörelsens intäkter</t>
  </si>
  <si>
    <t>Nettoomsättning</t>
  </si>
  <si>
    <t>Förändring pågående arbeten</t>
  </si>
  <si>
    <t>Övriga externa intäkter</t>
  </si>
  <si>
    <t>Summa rörelsens intäkter</t>
  </si>
  <si>
    <t>Rörelsens kostnader</t>
  </si>
  <si>
    <t>Råvaror, förnödenheter och handelsvaror</t>
  </si>
  <si>
    <t>Bruttomarginal %</t>
  </si>
  <si>
    <t>Övriga externa kostnader</t>
  </si>
  <si>
    <t>Personalkostnader</t>
  </si>
  <si>
    <t>Avskrivningar av anläggningstillgångar</t>
  </si>
  <si>
    <t>Övriga rörelsekostnader</t>
  </si>
  <si>
    <t>RÖRELSERESULTAT</t>
  </si>
  <si>
    <t>Rörelsemarginal %</t>
  </si>
  <si>
    <t>Finansiella poster</t>
  </si>
  <si>
    <t>Finansiella intäkter</t>
  </si>
  <si>
    <t>Finansiella kostnader</t>
  </si>
  <si>
    <t>RESULTAT EFTER FINANSIELLA POSTER</t>
  </si>
  <si>
    <t>Prognos</t>
  </si>
  <si>
    <t>(KSEK)</t>
  </si>
  <si>
    <t>Prognos framåt i tiden</t>
  </si>
  <si>
    <t>Avskrivning</t>
  </si>
  <si>
    <t>per år</t>
  </si>
  <si>
    <t>Ränta</t>
  </si>
  <si>
    <t>MW, tillväxt efter 2022</t>
  </si>
  <si>
    <t>MW, tillväxt efter 2029</t>
  </si>
  <si>
    <t>Omsättningstillväxt</t>
  </si>
  <si>
    <t>Andel i solenergianläggningar</t>
  </si>
  <si>
    <t>Omsättning per MW</t>
  </si>
  <si>
    <t>TSEK</t>
  </si>
  <si>
    <t>Investering per MW</t>
  </si>
  <si>
    <t>Solenergianläggningar, MW</t>
  </si>
  <si>
    <t>Omsättning, solengergianläggningar</t>
  </si>
  <si>
    <t>Övrig omsättning</t>
  </si>
  <si>
    <t>Ledning, försäljning och administration</t>
  </si>
  <si>
    <t>Justering kostnader, förskjutning</t>
  </si>
  <si>
    <t>RESULTAT EFTER FIN.POSTER</t>
  </si>
  <si>
    <t>Vinstmarginal (resultat efter fin poster)</t>
  </si>
  <si>
    <t>VPA, efter skatt 20,6%:</t>
  </si>
  <si>
    <t>P/E-tal vid kurs 16:</t>
  </si>
  <si>
    <t>DCF</t>
  </si>
  <si>
    <t>Företagsvärdering</t>
  </si>
  <si>
    <t>DCF - Resultaträkning</t>
  </si>
  <si>
    <t>Värde år 1 till 10</t>
  </si>
  <si>
    <t>Residualvärde</t>
  </si>
  <si>
    <t>Överlikvider, utdelningsbart vid värderingstillfälle</t>
  </si>
  <si>
    <t>Totalt värde</t>
  </si>
  <si>
    <t>Totalt antal aktier</t>
  </si>
  <si>
    <t>Tusental</t>
  </si>
  <si>
    <t>Värde per aktie</t>
  </si>
  <si>
    <t>Värde år 1 till 20</t>
  </si>
  <si>
    <t>Riskfri ränta</t>
  </si>
  <si>
    <t>Den riskfria räntan</t>
  </si>
  <si>
    <t>Marknadsrisk</t>
  </si>
  <si>
    <t>Riskpremie för aktiemarknaden</t>
  </si>
  <si>
    <t>Beta-värde</t>
  </si>
  <si>
    <t>Beta-värdet för den här typen av företag eller bransch, riskfaktor</t>
  </si>
  <si>
    <t>Skattesats</t>
  </si>
  <si>
    <t>Skattesatsen som skall betalas på företagets vinst</t>
  </si>
  <si>
    <t>Inflationstakt</t>
  </si>
  <si>
    <t>Inflationstakten</t>
  </si>
  <si>
    <t>Vinsttillväxt efter 10 år</t>
  </si>
  <si>
    <t>Geometrisk real tillväxt i oändlighet, aldrig högre än avkastningskrav (mellan 0-6 procent)</t>
  </si>
  <si>
    <t>Avkastningskrav före skatt</t>
  </si>
  <si>
    <t>Exklusive inflationstakt</t>
  </si>
  <si>
    <t>Exklusive inflationstakt med hänsyn till vinsttillväxt efter 10 år</t>
  </si>
  <si>
    <t>Aktiekurstillväxt/arbetsdag</t>
  </si>
  <si>
    <t>Efter värderingsdatum</t>
  </si>
  <si>
    <t>Innan värderingsdatum</t>
  </si>
  <si>
    <t>Efter veckodagsfyllning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</si>
</sst>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.00&quot; kr&quot;_-;\-* #,##0.00&quot; kr&quot;_-;_-* \-??&quot; kr&quot;_-;_-@_-"/>
    <numFmt numFmtId="167" formatCode="0.00%"/>
    <numFmt numFmtId="168" formatCode="#,##0"/>
    <numFmt numFmtId="169" formatCode="0.000"/>
    <numFmt numFmtId="170" formatCode="#,##0.00"/>
    <numFmt numFmtId="171" formatCode="0.000%"/>
    <numFmt numFmtId="172" formatCode="0.000000000"/>
  </numFmts>
  <fonts count="1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10"/>
      <name val="Arial"/>
      <family val="2"/>
    </font>
    <font>
      <sz val="8"/>
      <color indexed="10"/>
      <name val="Verdana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7" fontId="0" fillId="0" borderId="1" xfId="19" applyNumberFormat="1" applyFont="1" applyFill="1" applyBorder="1" applyAlignment="1" applyProtection="1">
      <alignment/>
      <protection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8" fontId="3" fillId="2" borderId="1" xfId="17" applyNumberFormat="1" applyFont="1" applyFill="1" applyBorder="1" applyAlignment="1" applyProtection="1">
      <alignment/>
      <protection/>
    </xf>
    <xf numFmtId="167" fontId="3" fillId="0" borderId="3" xfId="19" applyNumberFormat="1" applyFont="1" applyFill="1" applyBorder="1" applyAlignment="1" applyProtection="1">
      <alignment/>
      <protection/>
    </xf>
    <xf numFmtId="167" fontId="3" fillId="0" borderId="4" xfId="19" applyNumberFormat="1" applyFont="1" applyFill="1" applyBorder="1" applyAlignment="1" applyProtection="1">
      <alignment/>
      <protection/>
    </xf>
    <xf numFmtId="168" fontId="3" fillId="2" borderId="1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7" fontId="4" fillId="0" borderId="0" xfId="19" applyNumberFormat="1" applyFont="1" applyFill="1" applyBorder="1" applyAlignment="1" applyProtection="1">
      <alignment/>
      <protection/>
    </xf>
    <xf numFmtId="165" fontId="4" fillId="0" borderId="0" xfId="19" applyFont="1" applyFill="1" applyBorder="1" applyAlignment="1" applyProtection="1">
      <alignment/>
      <protection/>
    </xf>
    <xf numFmtId="168" fontId="3" fillId="0" borderId="0" xfId="0" applyNumberFormat="1" applyFont="1" applyAlignment="1">
      <alignment/>
    </xf>
    <xf numFmtId="167" fontId="3" fillId="0" borderId="0" xfId="19" applyNumberFormat="1" applyFont="1" applyFill="1" applyBorder="1" applyAlignment="1" applyProtection="1">
      <alignment/>
      <protection/>
    </xf>
    <xf numFmtId="165" fontId="3" fillId="0" borderId="0" xfId="19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7" fontId="8" fillId="0" borderId="5" xfId="19" applyNumberFormat="1" applyFont="1" applyFill="1" applyBorder="1" applyAlignment="1" applyProtection="1">
      <alignment/>
      <protection/>
    </xf>
    <xf numFmtId="167" fontId="8" fillId="0" borderId="0" xfId="19" applyNumberFormat="1" applyFont="1" applyFill="1" applyBorder="1" applyAlignment="1" applyProtection="1">
      <alignment/>
      <protection/>
    </xf>
    <xf numFmtId="168" fontId="3" fillId="0" borderId="6" xfId="0" applyNumberFormat="1" applyFont="1" applyFill="1" applyBorder="1" applyAlignment="1">
      <alignment/>
    </xf>
    <xf numFmtId="164" fontId="5" fillId="0" borderId="7" xfId="0" applyFont="1" applyBorder="1" applyAlignment="1">
      <alignment/>
    </xf>
    <xf numFmtId="168" fontId="3" fillId="0" borderId="1" xfId="0" applyNumberFormat="1" applyFont="1" applyBorder="1" applyAlignment="1">
      <alignment/>
    </xf>
    <xf numFmtId="164" fontId="7" fillId="0" borderId="0" xfId="0" applyFont="1" applyBorder="1" applyAlignment="1">
      <alignment/>
    </xf>
    <xf numFmtId="168" fontId="0" fillId="0" borderId="0" xfId="0" applyNumberFormat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5" fontId="0" fillId="0" borderId="0" xfId="19" applyFont="1" applyFill="1" applyBorder="1" applyAlignment="1" applyProtection="1">
      <alignment/>
      <protection/>
    </xf>
    <xf numFmtId="165" fontId="3" fillId="0" borderId="4" xfId="19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7" fontId="0" fillId="3" borderId="1" xfId="19" applyNumberFormat="1" applyFont="1" applyFill="1" applyBorder="1" applyAlignment="1" applyProtection="1">
      <alignment/>
      <protection/>
    </xf>
    <xf numFmtId="164" fontId="0" fillId="3" borderId="1" xfId="19" applyNumberFormat="1" applyFont="1" applyFill="1" applyBorder="1" applyAlignment="1" applyProtection="1">
      <alignment/>
      <protection/>
    </xf>
    <xf numFmtId="164" fontId="3" fillId="0" borderId="2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9" fontId="3" fillId="3" borderId="8" xfId="0" applyNumberFormat="1" applyFont="1" applyFill="1" applyBorder="1" applyAlignment="1">
      <alignment horizontal="right"/>
    </xf>
    <xf numFmtId="169" fontId="3" fillId="0" borderId="8" xfId="0" applyNumberFormat="1" applyFont="1" applyBorder="1" applyAlignment="1">
      <alignment horizontal="right"/>
    </xf>
    <xf numFmtId="165" fontId="6" fillId="0" borderId="0" xfId="19" applyFont="1" applyFill="1" applyBorder="1" applyAlignment="1" applyProtection="1">
      <alignment/>
      <protection/>
    </xf>
    <xf numFmtId="168" fontId="3" fillId="0" borderId="1" xfId="0" applyNumberFormat="1" applyFont="1" applyFill="1" applyBorder="1" applyAlignment="1">
      <alignment/>
    </xf>
    <xf numFmtId="167" fontId="6" fillId="0" borderId="0" xfId="19" applyNumberFormat="1" applyFont="1" applyFill="1" applyBorder="1" applyAlignment="1" applyProtection="1">
      <alignment/>
      <protection/>
    </xf>
    <xf numFmtId="168" fontId="3" fillId="3" borderId="1" xfId="0" applyNumberFormat="1" applyFont="1" applyFill="1" applyBorder="1" applyAlignment="1">
      <alignment/>
    </xf>
    <xf numFmtId="168" fontId="3" fillId="4" borderId="1" xfId="0" applyNumberFormat="1" applyFont="1" applyFill="1" applyBorder="1" applyAlignment="1">
      <alignment/>
    </xf>
    <xf numFmtId="167" fontId="6" fillId="3" borderId="1" xfId="19" applyNumberFormat="1" applyFont="1" applyFill="1" applyBorder="1" applyAlignment="1" applyProtection="1">
      <alignment/>
      <protection/>
    </xf>
    <xf numFmtId="164" fontId="7" fillId="0" borderId="0" xfId="0" applyFont="1" applyFill="1" applyBorder="1" applyAlignment="1">
      <alignment/>
    </xf>
    <xf numFmtId="165" fontId="6" fillId="0" borderId="5" xfId="19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5" fontId="6" fillId="0" borderId="6" xfId="19" applyFont="1" applyFill="1" applyBorder="1" applyAlignment="1" applyProtection="1">
      <alignment/>
      <protection/>
    </xf>
    <xf numFmtId="167" fontId="6" fillId="3" borderId="8" xfId="19" applyNumberFormat="1" applyFont="1" applyFill="1" applyBorder="1" applyAlignment="1" applyProtection="1">
      <alignment/>
      <protection/>
    </xf>
    <xf numFmtId="168" fontId="3" fillId="0" borderId="8" xfId="0" applyNumberFormat="1" applyFont="1" applyFill="1" applyBorder="1" applyAlignment="1">
      <alignment/>
    </xf>
    <xf numFmtId="164" fontId="5" fillId="0" borderId="9" xfId="0" applyFont="1" applyBorder="1" applyAlignment="1">
      <alignment/>
    </xf>
    <xf numFmtId="165" fontId="6" fillId="0" borderId="10" xfId="19" applyFont="1" applyFill="1" applyBorder="1" applyAlignment="1" applyProtection="1">
      <alignment/>
      <protection/>
    </xf>
    <xf numFmtId="168" fontId="3" fillId="4" borderId="7" xfId="0" applyNumberFormat="1" applyFont="1" applyFill="1" applyBorder="1" applyAlignment="1">
      <alignment/>
    </xf>
    <xf numFmtId="167" fontId="8" fillId="4" borderId="5" xfId="19" applyNumberFormat="1" applyFont="1" applyFill="1" applyBorder="1" applyAlignment="1" applyProtection="1">
      <alignment/>
      <protection/>
    </xf>
    <xf numFmtId="168" fontId="3" fillId="4" borderId="0" xfId="0" applyNumberFormat="1" applyFont="1" applyFill="1" applyBorder="1" applyAlignment="1">
      <alignment/>
    </xf>
    <xf numFmtId="164" fontId="0" fillId="0" borderId="10" xfId="0" applyBorder="1" applyAlignment="1">
      <alignment/>
    </xf>
    <xf numFmtId="168" fontId="3" fillId="0" borderId="7" xfId="0" applyNumberFormat="1" applyFont="1" applyBorder="1" applyAlignment="1">
      <alignment/>
    </xf>
    <xf numFmtId="164" fontId="9" fillId="0" borderId="0" xfId="0" applyFont="1" applyAlignment="1">
      <alignment/>
    </xf>
    <xf numFmtId="170" fontId="3" fillId="0" borderId="0" xfId="19" applyNumberFormat="1" applyFont="1" applyFill="1" applyBorder="1" applyAlignment="1" applyProtection="1">
      <alignment/>
      <protection/>
    </xf>
    <xf numFmtId="168" fontId="3" fillId="0" borderId="0" xfId="19" applyNumberFormat="1" applyFont="1" applyFill="1" applyBorder="1" applyAlignment="1" applyProtection="1">
      <alignment/>
      <protection/>
    </xf>
    <xf numFmtId="164" fontId="0" fillId="0" borderId="0" xfId="19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10" fillId="0" borderId="0" xfId="0" applyFont="1" applyAlignment="1">
      <alignment/>
    </xf>
    <xf numFmtId="168" fontId="0" fillId="0" borderId="0" xfId="0" applyNumberFormat="1" applyAlignment="1">
      <alignment horizontal="right"/>
    </xf>
    <xf numFmtId="168" fontId="0" fillId="5" borderId="1" xfId="0" applyNumberFormat="1" applyFill="1" applyBorder="1" applyAlignment="1">
      <alignment horizontal="right"/>
    </xf>
    <xf numFmtId="164" fontId="2" fillId="0" borderId="7" xfId="0" applyFont="1" applyBorder="1" applyAlignment="1">
      <alignment/>
    </xf>
    <xf numFmtId="168" fontId="2" fillId="0" borderId="7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170" fontId="2" fillId="0" borderId="7" xfId="0" applyNumberFormat="1" applyFont="1" applyBorder="1" applyAlignment="1">
      <alignment horizontal="right"/>
    </xf>
    <xf numFmtId="171" fontId="0" fillId="2" borderId="1" xfId="19" applyNumberFormat="1" applyFont="1" applyFill="1" applyBorder="1" applyAlignment="1" applyProtection="1">
      <alignment/>
      <protection/>
    </xf>
    <xf numFmtId="165" fontId="0" fillId="2" borderId="1" xfId="19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2" borderId="1" xfId="0" applyFill="1" applyBorder="1" applyAlignment="1">
      <alignment/>
    </xf>
    <xf numFmtId="164" fontId="0" fillId="2" borderId="1" xfId="19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/>
    </xf>
    <xf numFmtId="171" fontId="2" fillId="0" borderId="7" xfId="19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0" fillId="0" borderId="5" xfId="0" applyFont="1" applyBorder="1" applyAlignment="1">
      <alignment/>
    </xf>
    <xf numFmtId="172" fontId="0" fillId="0" borderId="5" xfId="0" applyNumberFormat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rocent 2" xfId="20"/>
    <cellStyle name="Procent 3" xfId="21"/>
    <cellStyle name="Procent 4" xfId="22"/>
    <cellStyle name="Procent 5" xfId="23"/>
    <cellStyle name="Procent 6" xfId="24"/>
    <cellStyle name="Procent 7" xfId="25"/>
    <cellStyle name="Procent 8" xfId="26"/>
    <cellStyle name="Procent 9" xfId="27"/>
    <cellStyle name="Valuta 2" xfId="28"/>
    <cellStyle name="Valuta 3" xfId="29"/>
    <cellStyle name="Valuta 4" xfId="30"/>
    <cellStyle name="Valuta 5" xfId="31"/>
    <cellStyle name="Valuta 6" xfId="32"/>
    <cellStyle name="Valuta 7" xfId="33"/>
    <cellStyle name="Valuta 8" xfId="34"/>
    <cellStyle name="Valuta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B18" sqref="B18"/>
    </sheetView>
  </sheetViews>
  <sheetFormatPr defaultColWidth="9.140625" defaultRowHeight="12.75"/>
  <cols>
    <col min="1" max="1" width="41.28125" style="0" customWidth="1"/>
    <col min="2" max="2" width="8.7109375" style="0" customWidth="1"/>
    <col min="3" max="3" width="7.421875" style="0" customWidth="1"/>
    <col min="4" max="4" width="8.7109375" style="0" customWidth="1"/>
    <col min="5" max="5" width="7.140625" style="0" customWidth="1"/>
    <col min="6" max="6" width="8.7109375" style="0" customWidth="1"/>
    <col min="7" max="7" width="7.140625" style="0" customWidth="1"/>
    <col min="8" max="8" width="8.7109375" style="0" customWidth="1"/>
    <col min="9" max="9" width="7.140625" style="0" customWidth="1"/>
  </cols>
  <sheetData>
    <row r="1" spans="1:4" ht="12.75">
      <c r="A1" s="1" t="s">
        <v>0</v>
      </c>
      <c r="B1" s="2" t="s">
        <v>1</v>
      </c>
      <c r="C1" s="2"/>
      <c r="D1" t="s">
        <v>2</v>
      </c>
    </row>
    <row r="4" spans="1:3" ht="12.75">
      <c r="A4" s="2" t="s">
        <v>3</v>
      </c>
      <c r="B4" s="3">
        <f>Avkastningskrav!B11</f>
        <v>0.10075566750629722</v>
      </c>
      <c r="C4" t="s">
        <v>4</v>
      </c>
    </row>
    <row r="6" spans="1:11" ht="12.75">
      <c r="A6" s="4"/>
      <c r="B6" s="5">
        <v>2018</v>
      </c>
      <c r="C6" s="5" t="s">
        <v>5</v>
      </c>
      <c r="D6" s="5">
        <v>2017</v>
      </c>
      <c r="E6" s="5" t="s">
        <v>5</v>
      </c>
      <c r="F6" s="5">
        <v>2016</v>
      </c>
      <c r="G6" s="5" t="s">
        <v>5</v>
      </c>
      <c r="H6" s="5">
        <v>2015</v>
      </c>
      <c r="I6" s="5" t="s">
        <v>5</v>
      </c>
      <c r="J6" s="5">
        <v>2014</v>
      </c>
      <c r="K6" s="5" t="s">
        <v>5</v>
      </c>
    </row>
    <row r="7" spans="1:11" ht="12.75">
      <c r="A7" s="6" t="s">
        <v>6</v>
      </c>
      <c r="D7" s="7"/>
      <c r="E7" s="7"/>
      <c r="F7" s="7"/>
      <c r="G7" s="7"/>
      <c r="H7" s="7"/>
      <c r="I7" s="7"/>
      <c r="J7" s="7"/>
      <c r="K7" s="7"/>
    </row>
    <row r="8" spans="1:11" ht="12.75">
      <c r="A8" s="8" t="s">
        <v>7</v>
      </c>
      <c r="B8" s="9">
        <v>53731</v>
      </c>
      <c r="C8" s="10">
        <f>B8/B8</f>
        <v>1</v>
      </c>
      <c r="D8" s="9">
        <v>47465</v>
      </c>
      <c r="E8" s="10">
        <f>D8/D8</f>
        <v>1</v>
      </c>
      <c r="F8" s="9">
        <v>49277</v>
      </c>
      <c r="G8" s="10">
        <f>F8/F8</f>
        <v>1</v>
      </c>
      <c r="H8" s="9">
        <v>40091</v>
      </c>
      <c r="I8" s="11">
        <f>H8/H8</f>
        <v>1</v>
      </c>
      <c r="J8" s="9">
        <v>12425</v>
      </c>
      <c r="K8" s="11">
        <f>J8/J8</f>
        <v>1</v>
      </c>
    </row>
    <row r="9" spans="1:11" ht="12.75">
      <c r="A9" s="8" t="s">
        <v>8</v>
      </c>
      <c r="B9" s="9">
        <v>-481</v>
      </c>
      <c r="C9" s="10"/>
      <c r="D9" s="9">
        <v>-1669</v>
      </c>
      <c r="E9" s="10"/>
      <c r="F9" s="9">
        <v>412</v>
      </c>
      <c r="G9" s="10"/>
      <c r="H9" s="9">
        <v>-169</v>
      </c>
      <c r="I9" s="11"/>
      <c r="J9" s="9">
        <v>218</v>
      </c>
      <c r="K9" s="11"/>
    </row>
    <row r="10" spans="1:11" ht="12.75">
      <c r="A10" s="8" t="s">
        <v>9</v>
      </c>
      <c r="B10" s="12">
        <v>124</v>
      </c>
      <c r="C10" s="10">
        <f>B10/B8</f>
        <v>0.0023077925220077794</v>
      </c>
      <c r="D10" s="12">
        <v>4432</v>
      </c>
      <c r="E10" s="10">
        <f>D10/D8</f>
        <v>0.09337406510060044</v>
      </c>
      <c r="F10" s="12">
        <v>210</v>
      </c>
      <c r="G10" s="10">
        <f>F10/F8</f>
        <v>0.004261623069586217</v>
      </c>
      <c r="H10" s="12">
        <v>172</v>
      </c>
      <c r="I10" s="11">
        <f>H10/H8</f>
        <v>0.004290239704671872</v>
      </c>
      <c r="J10" s="12">
        <v>21</v>
      </c>
      <c r="K10" s="11">
        <f>J10/J8</f>
        <v>0.0016901408450704226</v>
      </c>
    </row>
    <row r="11" spans="1:11" ht="12.75">
      <c r="A11" s="6" t="s">
        <v>10</v>
      </c>
      <c r="B11" s="13">
        <f>SUM(B8:B10)</f>
        <v>53374</v>
      </c>
      <c r="C11" s="14"/>
      <c r="D11" s="13">
        <f>SUM(D8:D10)</f>
        <v>50228</v>
      </c>
      <c r="E11" s="14"/>
      <c r="F11" s="13">
        <f>SUM(F8:F10)</f>
        <v>49899</v>
      </c>
      <c r="G11" s="15"/>
      <c r="H11" s="13">
        <f>SUM(H8:H10)</f>
        <v>40094</v>
      </c>
      <c r="I11" s="15"/>
      <c r="J11" s="13">
        <f>SUM(J8:J10)</f>
        <v>12664</v>
      </c>
      <c r="K11" s="15"/>
    </row>
    <row r="12" spans="1:11" ht="12.75">
      <c r="A12" s="6"/>
      <c r="B12" s="16"/>
      <c r="C12" s="17"/>
      <c r="D12" s="16"/>
      <c r="E12" s="17"/>
      <c r="F12" s="16"/>
      <c r="G12" s="18"/>
      <c r="H12" s="16"/>
      <c r="I12" s="18"/>
      <c r="J12" s="16"/>
      <c r="K12" s="18"/>
    </row>
    <row r="13" spans="1:11" ht="12.75">
      <c r="A13" s="6" t="s">
        <v>11</v>
      </c>
      <c r="B13" s="16"/>
      <c r="C13" s="17"/>
      <c r="D13" s="16"/>
      <c r="E13" s="17"/>
      <c r="F13" s="16"/>
      <c r="G13" s="18"/>
      <c r="H13" s="16"/>
      <c r="I13" s="18"/>
      <c r="J13" s="16"/>
      <c r="K13" s="18"/>
    </row>
    <row r="14" spans="1:11" ht="12.75">
      <c r="A14" s="8" t="s">
        <v>12</v>
      </c>
      <c r="B14" s="12">
        <v>13046</v>
      </c>
      <c r="C14" s="10">
        <f>(B14)/B8</f>
        <v>0.24280210679123784</v>
      </c>
      <c r="D14" s="12">
        <v>18958</v>
      </c>
      <c r="E14" s="10">
        <f>(D14)/D8</f>
        <v>0.39941009164647634</v>
      </c>
      <c r="F14" s="12">
        <v>25808</v>
      </c>
      <c r="G14" s="10">
        <f>(F14)/F8</f>
        <v>0.5237331818089576</v>
      </c>
      <c r="H14" s="12">
        <v>22617</v>
      </c>
      <c r="I14" s="11">
        <f>(H14)/H8</f>
        <v>0.5641415779102542</v>
      </c>
      <c r="J14" s="12">
        <v>8465</v>
      </c>
      <c r="K14" s="11">
        <f>(J14)/J8</f>
        <v>0.6812877263581489</v>
      </c>
    </row>
    <row r="15" spans="1:11" ht="12.75">
      <c r="A15" s="19" t="s">
        <v>13</v>
      </c>
      <c r="B15" s="20">
        <f>(B8-B14)/B8</f>
        <v>0.7571978932087622</v>
      </c>
      <c r="C15" s="21"/>
      <c r="D15" s="20">
        <f>(D8-D14)/D8</f>
        <v>0.6005899083535237</v>
      </c>
      <c r="E15" s="21"/>
      <c r="F15" s="20">
        <f>(F8-F14)/F8</f>
        <v>0.4762668181910425</v>
      </c>
      <c r="G15" s="21"/>
      <c r="H15" s="20">
        <f>(H8-H14)/H8</f>
        <v>0.43585842208974584</v>
      </c>
      <c r="I15" s="21"/>
      <c r="J15" s="20">
        <f>(J8-J14)/J8</f>
        <v>0.3187122736418511</v>
      </c>
      <c r="K15" s="21"/>
    </row>
    <row r="16" spans="1:11" ht="12.75">
      <c r="A16" s="8"/>
      <c r="B16" s="22"/>
      <c r="C16" s="17"/>
      <c r="D16" s="22"/>
      <c r="E16" s="17"/>
      <c r="F16" s="22"/>
      <c r="G16" s="17"/>
      <c r="H16" s="22"/>
      <c r="I16" s="17"/>
      <c r="J16" s="22"/>
      <c r="K16" s="17"/>
    </row>
    <row r="17" spans="1:11" ht="12.75">
      <c r="A17" s="8" t="s">
        <v>14</v>
      </c>
      <c r="B17" s="12">
        <v>10723</v>
      </c>
      <c r="C17" s="10">
        <f>B17/B8</f>
        <v>0.19956821946362435</v>
      </c>
      <c r="D17" s="12">
        <v>22645</v>
      </c>
      <c r="E17" s="10">
        <f>D17/D8</f>
        <v>0.47708838091225114</v>
      </c>
      <c r="F17" s="12">
        <v>11168</v>
      </c>
      <c r="G17" s="10">
        <f>F17/F8</f>
        <v>0.2266371735292327</v>
      </c>
      <c r="H17" s="12">
        <v>9858</v>
      </c>
      <c r="I17" s="11">
        <f>H17/H8</f>
        <v>0.24589059888753087</v>
      </c>
      <c r="J17" s="12">
        <v>6910</v>
      </c>
      <c r="K17" s="11">
        <f>J17/J8</f>
        <v>0.5561368209255533</v>
      </c>
    </row>
    <row r="18" spans="1:11" ht="12.75">
      <c r="A18" s="8" t="s">
        <v>15</v>
      </c>
      <c r="B18" s="12">
        <v>11831</v>
      </c>
      <c r="C18" s="10">
        <f>B18/B8</f>
        <v>0.22018946232156483</v>
      </c>
      <c r="D18" s="12">
        <v>21621</v>
      </c>
      <c r="E18" s="10">
        <f>D18/D8</f>
        <v>0.45551458969767195</v>
      </c>
      <c r="F18" s="12">
        <v>23871</v>
      </c>
      <c r="G18" s="10">
        <f>F18/F8</f>
        <v>0.4844247823528218</v>
      </c>
      <c r="H18" s="12">
        <v>19258</v>
      </c>
      <c r="I18" s="11">
        <f>H18/H8</f>
        <v>0.480357187398668</v>
      </c>
      <c r="J18" s="12">
        <v>10054</v>
      </c>
      <c r="K18" s="11">
        <f>J18/J8</f>
        <v>0.8091750503018109</v>
      </c>
    </row>
    <row r="19" spans="1:11" ht="12.75">
      <c r="A19" s="8" t="s">
        <v>16</v>
      </c>
      <c r="B19" s="12">
        <v>12340</v>
      </c>
      <c r="C19" s="10">
        <f>B19/B8</f>
        <v>0.22966257839980644</v>
      </c>
      <c r="D19" s="12">
        <v>4341</v>
      </c>
      <c r="E19" s="10">
        <f>D19/D8</f>
        <v>0.09145686295164858</v>
      </c>
      <c r="F19" s="12">
        <v>1974</v>
      </c>
      <c r="G19" s="10">
        <f>F19/F8</f>
        <v>0.04005925685411044</v>
      </c>
      <c r="H19" s="12">
        <v>1443</v>
      </c>
      <c r="I19" s="11">
        <f>H19/H8</f>
        <v>0.035993115661869246</v>
      </c>
      <c r="J19" s="12">
        <v>551</v>
      </c>
      <c r="K19" s="11">
        <f>J19/J8</f>
        <v>0.04434607645875251</v>
      </c>
    </row>
    <row r="20" spans="1:11" ht="12.75">
      <c r="A20" s="8" t="s">
        <v>17</v>
      </c>
      <c r="B20" s="12">
        <v>190</v>
      </c>
      <c r="C20" s="10">
        <f>B20/B8</f>
        <v>0.0035361337030764364</v>
      </c>
      <c r="D20" s="12">
        <v>78</v>
      </c>
      <c r="E20" s="10">
        <f>D20/D8</f>
        <v>0.0016433161276730222</v>
      </c>
      <c r="F20" s="12">
        <v>2773</v>
      </c>
      <c r="G20" s="10">
        <f>F20/F8</f>
        <v>0.05627371796172657</v>
      </c>
      <c r="H20" s="12">
        <v>0</v>
      </c>
      <c r="I20" s="11">
        <f>H20/H8</f>
        <v>0</v>
      </c>
      <c r="J20" s="12">
        <v>0</v>
      </c>
      <c r="K20" s="11">
        <f>J20/J8</f>
        <v>0</v>
      </c>
    </row>
    <row r="21" spans="1:11" ht="12.75">
      <c r="A21" s="23" t="s">
        <v>18</v>
      </c>
      <c r="B21" s="24">
        <f>B11-B14-SUM(B17:B20)</f>
        <v>5244</v>
      </c>
      <c r="C21" s="17">
        <f>B21/B8</f>
        <v>0.09759729020490965</v>
      </c>
      <c r="D21" s="24">
        <f>D11-D14-SUM(D17:D20)</f>
        <v>-17415</v>
      </c>
      <c r="E21" s="17">
        <f>D21/D8</f>
        <v>-0.3669019277362267</v>
      </c>
      <c r="F21" s="24">
        <f>F11-F14-SUM(F17:F20)</f>
        <v>-15695</v>
      </c>
      <c r="G21" s="17">
        <f>F21/F8</f>
        <v>-0.3185055908435984</v>
      </c>
      <c r="H21" s="24">
        <f>H11-H14-SUM(H17:H20)</f>
        <v>-13082</v>
      </c>
      <c r="I21" s="17">
        <f>H21/H8</f>
        <v>-0.3263076500960315</v>
      </c>
      <c r="J21" s="24">
        <f>J11-J14-SUM(J17:J20)</f>
        <v>-13316</v>
      </c>
      <c r="K21" s="17">
        <f>J21/J8</f>
        <v>-1.0717102615694165</v>
      </c>
    </row>
    <row r="22" spans="1:11" ht="12.75">
      <c r="A22" s="25" t="s">
        <v>19</v>
      </c>
      <c r="B22" s="21">
        <f>B21/B8</f>
        <v>0.09759729020490965</v>
      </c>
      <c r="C22" s="21"/>
      <c r="D22" s="21">
        <f>D21/D8</f>
        <v>-0.3669019277362267</v>
      </c>
      <c r="E22" s="21"/>
      <c r="F22" s="21">
        <f>F21/F8</f>
        <v>-0.3185055908435984</v>
      </c>
      <c r="G22" s="21"/>
      <c r="H22" s="21">
        <f>H21/H8</f>
        <v>-0.3263076500960315</v>
      </c>
      <c r="I22" s="21"/>
      <c r="J22" s="21">
        <f>J21/J8</f>
        <v>-1.0717102615694165</v>
      </c>
      <c r="K22" s="21"/>
    </row>
    <row r="23" spans="2:11" ht="12.75">
      <c r="B23" s="26"/>
      <c r="C23" s="27"/>
      <c r="D23" s="26"/>
      <c r="E23" s="27"/>
      <c r="F23" s="26"/>
      <c r="G23" s="28"/>
      <c r="H23" s="26"/>
      <c r="I23" s="28"/>
      <c r="J23" s="26"/>
      <c r="K23" s="28"/>
    </row>
    <row r="24" spans="1:11" ht="12.75">
      <c r="A24" s="6" t="s">
        <v>20</v>
      </c>
      <c r="B24" s="26"/>
      <c r="C24" s="27"/>
      <c r="D24" s="26"/>
      <c r="E24" s="27"/>
      <c r="F24" s="26"/>
      <c r="G24" s="28"/>
      <c r="H24" s="26"/>
      <c r="I24" s="28"/>
      <c r="J24" s="26"/>
      <c r="K24" s="28"/>
    </row>
    <row r="25" spans="1:11" ht="12.75">
      <c r="A25" s="8" t="s">
        <v>21</v>
      </c>
      <c r="B25" s="12">
        <v>5827</v>
      </c>
      <c r="C25" s="17">
        <f>B25/$B$8</f>
        <v>0.10844763730434945</v>
      </c>
      <c r="D25" s="12">
        <v>4587</v>
      </c>
      <c r="E25" s="17">
        <f>D25/$D$8</f>
        <v>0.0966396292004635</v>
      </c>
      <c r="F25" s="12">
        <v>1308</v>
      </c>
      <c r="G25" s="17">
        <f>F25/$F$8</f>
        <v>0.026543823690565578</v>
      </c>
      <c r="H25" s="12">
        <v>46</v>
      </c>
      <c r="I25" s="29"/>
      <c r="J25" s="12">
        <v>17</v>
      </c>
      <c r="K25" s="29"/>
    </row>
    <row r="26" spans="1:11" ht="12.75">
      <c r="A26" s="30" t="s">
        <v>22</v>
      </c>
      <c r="B26" s="12">
        <v>26647</v>
      </c>
      <c r="C26" s="17">
        <f>B26/$B$8</f>
        <v>0.4959334462414621</v>
      </c>
      <c r="D26" s="12">
        <v>7922</v>
      </c>
      <c r="E26" s="17">
        <f>D26/$D$8</f>
        <v>0.1669019277362267</v>
      </c>
      <c r="F26" s="12">
        <v>3981</v>
      </c>
      <c r="G26" s="17">
        <f>F26/$F$8</f>
        <v>0.08078819733344156</v>
      </c>
      <c r="H26" s="12">
        <v>105</v>
      </c>
      <c r="I26" s="29"/>
      <c r="J26" s="12">
        <v>102</v>
      </c>
      <c r="K26" s="29"/>
    </row>
    <row r="27" spans="1:11" ht="12.75">
      <c r="A27" s="23" t="s">
        <v>23</v>
      </c>
      <c r="B27" s="24">
        <f>B21+B25-B26</f>
        <v>-15576</v>
      </c>
      <c r="C27" s="17">
        <f>B27/$B$8</f>
        <v>-0.289888518732203</v>
      </c>
      <c r="D27" s="24">
        <f>D21+D25-D26</f>
        <v>-20750</v>
      </c>
      <c r="E27" s="17">
        <f>D27/$D$8</f>
        <v>-0.43716422627198986</v>
      </c>
      <c r="F27" s="24">
        <f>F21+F25-F26</f>
        <v>-18368</v>
      </c>
      <c r="G27" s="17">
        <f>F27/$F$8</f>
        <v>-0.3727499644864744</v>
      </c>
      <c r="H27" s="24">
        <f>H21+H25-H26</f>
        <v>-13141</v>
      </c>
      <c r="I27" s="17">
        <f>H27/H8</f>
        <v>-0.32777930208775036</v>
      </c>
      <c r="J27" s="24">
        <f>J21+J25-J26</f>
        <v>-13401</v>
      </c>
      <c r="K27" s="17">
        <f>J27/J8</f>
        <v>-1.0785513078470825</v>
      </c>
    </row>
    <row r="28" spans="1:9" ht="12.75">
      <c r="A28" s="31"/>
      <c r="B28" s="32"/>
      <c r="C28" s="17"/>
      <c r="D28" s="32"/>
      <c r="E28" s="17"/>
      <c r="F28" s="32"/>
      <c r="G28" s="17"/>
      <c r="H28" s="32"/>
      <c r="I28" s="17"/>
    </row>
    <row r="29" spans="1:9" ht="12.75">
      <c r="A29" s="31"/>
      <c r="B29" s="32"/>
      <c r="C29" s="17"/>
      <c r="D29" s="32"/>
      <c r="E29" s="17"/>
      <c r="F29" s="32"/>
      <c r="G29" s="17"/>
      <c r="H29" s="32"/>
      <c r="I29" s="17"/>
    </row>
    <row r="30" spans="1:11" ht="12.75">
      <c r="A30" s="6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.75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ht="12.75">
      <c r="A32" s="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showGridLines="0" tabSelected="1" workbookViewId="0" topLeftCell="A1">
      <selection activeCell="H39" sqref="H39"/>
    </sheetView>
  </sheetViews>
  <sheetFormatPr defaultColWidth="9.140625" defaultRowHeight="12.75"/>
  <cols>
    <col min="1" max="1" width="39.8515625" style="0" customWidth="1"/>
    <col min="2" max="2" width="7.7109375" style="0" customWidth="1"/>
    <col min="3" max="12" width="8.8515625" style="0" customWidth="1"/>
    <col min="14" max="14" width="9.421875" style="0" customWidth="1"/>
  </cols>
  <sheetData>
    <row r="1" spans="1:4" ht="12.75">
      <c r="A1" s="1" t="s">
        <v>0</v>
      </c>
      <c r="B1" s="1"/>
      <c r="C1" s="2" t="s">
        <v>24</v>
      </c>
      <c r="D1" t="s">
        <v>25</v>
      </c>
    </row>
    <row r="2" ht="12.75">
      <c r="C2" t="s">
        <v>26</v>
      </c>
    </row>
    <row r="4" spans="1:4" ht="12.75">
      <c r="A4" s="2" t="s">
        <v>3</v>
      </c>
      <c r="B4" s="2"/>
      <c r="C4" s="3">
        <f>Avkastningskrav!B11</f>
        <v>0.10075566750629722</v>
      </c>
      <c r="D4" t="s">
        <v>4</v>
      </c>
    </row>
    <row r="5" spans="1:4" ht="12.75">
      <c r="A5" s="2" t="s">
        <v>27</v>
      </c>
      <c r="B5" s="2"/>
      <c r="C5" s="34">
        <v>0.05</v>
      </c>
      <c r="D5" t="s">
        <v>28</v>
      </c>
    </row>
    <row r="6" spans="1:4" ht="12.75">
      <c r="A6" s="2" t="s">
        <v>29</v>
      </c>
      <c r="B6" s="2"/>
      <c r="C6" s="34">
        <v>0.09</v>
      </c>
      <c r="D6" t="s">
        <v>28</v>
      </c>
    </row>
    <row r="7" spans="1:4" ht="12.75">
      <c r="A7" s="2" t="s">
        <v>30</v>
      </c>
      <c r="B7" s="2"/>
      <c r="C7" s="34">
        <v>0.35</v>
      </c>
      <c r="D7" t="s">
        <v>28</v>
      </c>
    </row>
    <row r="8" spans="1:4" ht="12.75">
      <c r="A8" s="2" t="s">
        <v>31</v>
      </c>
      <c r="B8" s="2"/>
      <c r="C8" s="34">
        <v>0.2</v>
      </c>
      <c r="D8" t="s">
        <v>28</v>
      </c>
    </row>
    <row r="9" spans="1:4" ht="12.75">
      <c r="A9" s="2" t="s">
        <v>32</v>
      </c>
      <c r="B9" s="2"/>
      <c r="C9" s="34">
        <v>0.1</v>
      </c>
      <c r="D9" t="s">
        <v>28</v>
      </c>
    </row>
    <row r="10" spans="1:3" ht="12.75">
      <c r="A10" s="2" t="s">
        <v>33</v>
      </c>
      <c r="B10" s="2"/>
      <c r="C10" s="34">
        <v>0.51</v>
      </c>
    </row>
    <row r="11" spans="1:4" ht="12.75">
      <c r="A11" s="2" t="s">
        <v>34</v>
      </c>
      <c r="B11" s="2"/>
      <c r="C11" s="35">
        <v>1000</v>
      </c>
      <c r="D11" t="s">
        <v>35</v>
      </c>
    </row>
    <row r="12" spans="1:4" ht="12.75">
      <c r="A12" s="2" t="s">
        <v>36</v>
      </c>
      <c r="B12" s="2"/>
      <c r="C12" s="35">
        <v>6290</v>
      </c>
      <c r="D12" t="s">
        <v>35</v>
      </c>
    </row>
    <row r="14" spans="1:22" ht="12.75">
      <c r="A14" s="4"/>
      <c r="B14" s="36" t="s">
        <v>5</v>
      </c>
      <c r="C14" s="5">
        <v>2019</v>
      </c>
      <c r="D14" s="5">
        <v>2020</v>
      </c>
      <c r="E14" s="5">
        <v>2021</v>
      </c>
      <c r="F14" s="5">
        <v>2022</v>
      </c>
      <c r="G14" s="5">
        <v>2023</v>
      </c>
      <c r="H14" s="5">
        <v>2024</v>
      </c>
      <c r="I14" s="5">
        <v>2025</v>
      </c>
      <c r="J14" s="5">
        <v>2026</v>
      </c>
      <c r="K14" s="5">
        <v>2027</v>
      </c>
      <c r="L14" s="5">
        <v>2028</v>
      </c>
      <c r="M14" s="5">
        <v>2029</v>
      </c>
      <c r="N14" s="5">
        <v>2030</v>
      </c>
      <c r="O14" s="5">
        <v>2031</v>
      </c>
      <c r="P14" s="5">
        <v>2032</v>
      </c>
      <c r="Q14" s="5">
        <v>2033</v>
      </c>
      <c r="R14" s="5">
        <v>2034</v>
      </c>
      <c r="S14" s="5">
        <v>2035</v>
      </c>
      <c r="T14" s="5">
        <v>2036</v>
      </c>
      <c r="U14" s="5">
        <v>2037</v>
      </c>
      <c r="V14" s="5">
        <v>2038</v>
      </c>
    </row>
    <row r="15" spans="1:22" ht="12.75">
      <c r="A15" s="37" t="s">
        <v>37</v>
      </c>
      <c r="B15" s="38"/>
      <c r="C15" s="39">
        <f>120*C10</f>
        <v>61.2</v>
      </c>
      <c r="D15" s="39">
        <f>204*C10</f>
        <v>104.04</v>
      </c>
      <c r="E15" s="39">
        <f>350*C10</f>
        <v>178.5</v>
      </c>
      <c r="F15" s="39">
        <f>605*C10</f>
        <v>308.55</v>
      </c>
      <c r="G15" s="40">
        <f>F15*(1+$C$7)</f>
        <v>416.5425</v>
      </c>
      <c r="H15" s="40">
        <f>G15*(1+$C$7)</f>
        <v>562.3323750000001</v>
      </c>
      <c r="I15" s="40">
        <f>H15*(1+$C$7)</f>
        <v>759.1487062500001</v>
      </c>
      <c r="J15" s="40">
        <f>I15*(1+$C$7)</f>
        <v>1024.8507534375003</v>
      </c>
      <c r="K15" s="40">
        <f>J15*(1+$C$7)</f>
        <v>1383.5485171406256</v>
      </c>
      <c r="L15" s="40">
        <f>K15*(1+$C$7)</f>
        <v>1867.7904981398447</v>
      </c>
      <c r="M15" s="40">
        <f>L15*(1+$C$7)</f>
        <v>2521.5171724887905</v>
      </c>
      <c r="N15" s="40">
        <f>M15*(1+$C$8)</f>
        <v>3025.8206069865487</v>
      </c>
      <c r="O15" s="40">
        <f>N15*(1+$C$8)</f>
        <v>3630.9847283838585</v>
      </c>
      <c r="P15" s="40">
        <f>O15*(1+$C$8)</f>
        <v>4357.18167406063</v>
      </c>
      <c r="Q15" s="40">
        <f>P15*(1+$C$8)</f>
        <v>5228.618008872756</v>
      </c>
      <c r="R15" s="40">
        <f>Q15*(1+$C$8)</f>
        <v>6274.341610647307</v>
      </c>
      <c r="S15" s="40">
        <f>R15*(1+$C$8)</f>
        <v>7529.209932776768</v>
      </c>
      <c r="T15" s="40">
        <f>S15*(1+$C$8)</f>
        <v>9035.051919332122</v>
      </c>
      <c r="U15" s="40">
        <f>T15*(1+$C$8)</f>
        <v>10842.062303198545</v>
      </c>
      <c r="V15" s="40">
        <f>U15*(1+$C$8)</f>
        <v>13010.474763838254</v>
      </c>
    </row>
    <row r="16" spans="1:22" ht="12.75">
      <c r="A16" s="6" t="s">
        <v>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8" t="s">
        <v>38</v>
      </c>
      <c r="B17" s="8"/>
      <c r="C17" s="42">
        <f>C15*$C$11</f>
        <v>61200</v>
      </c>
      <c r="D17" s="42">
        <f>D15*$C$11</f>
        <v>104040</v>
      </c>
      <c r="E17" s="42">
        <f>E15*$C$11</f>
        <v>178500</v>
      </c>
      <c r="F17" s="42">
        <f>F15*$C$11</f>
        <v>308550</v>
      </c>
      <c r="G17" s="42">
        <f>G15*$C$11</f>
        <v>416542.5</v>
      </c>
      <c r="H17" s="42">
        <f>H15*$C$11</f>
        <v>562332.3750000001</v>
      </c>
      <c r="I17" s="42">
        <f>I15*$C$11</f>
        <v>759148.7062500002</v>
      </c>
      <c r="J17" s="42">
        <f>J15*$C$11</f>
        <v>1024850.7534375003</v>
      </c>
      <c r="K17" s="42">
        <f>K15*$C$11</f>
        <v>1383548.5171406255</v>
      </c>
      <c r="L17" s="42">
        <f>L15*$C$11</f>
        <v>1867790.4981398447</v>
      </c>
      <c r="M17" s="42">
        <f>M15*$C$11</f>
        <v>2521517.1724887905</v>
      </c>
      <c r="N17" s="42">
        <f>N15*$C$11</f>
        <v>3025820.6069865488</v>
      </c>
      <c r="O17" s="42">
        <f>O15*$C$11</f>
        <v>3630984.7283838587</v>
      </c>
      <c r="P17" s="42">
        <f>P15*$C$11</f>
        <v>4357181.67406063</v>
      </c>
      <c r="Q17" s="42">
        <f>Q15*$C$11</f>
        <v>5228618.008872756</v>
      </c>
      <c r="R17" s="42">
        <f>R15*$C$11</f>
        <v>6274341.610647307</v>
      </c>
      <c r="S17" s="42">
        <f>S15*$C$11</f>
        <v>7529209.932776769</v>
      </c>
      <c r="T17" s="42">
        <f>T15*$C$11</f>
        <v>9035051.919332122</v>
      </c>
      <c r="U17" s="42">
        <f>U15*$C$11</f>
        <v>10842062.303198544</v>
      </c>
      <c r="V17" s="42">
        <f>V15*$C$11</f>
        <v>13010474.763838254</v>
      </c>
    </row>
    <row r="18" spans="1:22" ht="12.75">
      <c r="A18" s="8" t="s">
        <v>39</v>
      </c>
      <c r="B18" s="43"/>
      <c r="C18" s="44">
        <v>126000</v>
      </c>
      <c r="D18" s="45">
        <f>C18*(1+$C$9)</f>
        <v>138600</v>
      </c>
      <c r="E18" s="45">
        <f>D18*(1+$C$9)</f>
        <v>152460</v>
      </c>
      <c r="F18" s="45">
        <f>E18*(1+$C$9)</f>
        <v>167706</v>
      </c>
      <c r="G18" s="45">
        <f>F18*(1+$C$9)</f>
        <v>184476.6</v>
      </c>
      <c r="H18" s="45">
        <f>G18*(1+$C$9)</f>
        <v>202924.26</v>
      </c>
      <c r="I18" s="45">
        <f>H18*(1+$C$9)</f>
        <v>223216.68600000002</v>
      </c>
      <c r="J18" s="45">
        <f>I18*(1+$C$9)</f>
        <v>245538.35460000005</v>
      </c>
      <c r="K18" s="45">
        <f>J18*(1+$C$9)</f>
        <v>270092.19006000005</v>
      </c>
      <c r="L18" s="45">
        <f>K18*(1+$C$9)</f>
        <v>297101.4090660001</v>
      </c>
      <c r="M18" s="45">
        <f>L18*(1+$C$9)</f>
        <v>326811.5499726001</v>
      </c>
      <c r="N18" s="45">
        <f>M18*(1+$C$9)</f>
        <v>359492.70496986015</v>
      </c>
      <c r="O18" s="45">
        <f>N18*(1+$C$9)</f>
        <v>395441.9754668462</v>
      </c>
      <c r="P18" s="45">
        <f>O18*(1+$C$9)</f>
        <v>434986.17301353085</v>
      </c>
      <c r="Q18" s="45">
        <f>P18*(1+$C$9)</f>
        <v>478484.790314884</v>
      </c>
      <c r="R18" s="45">
        <f>Q18*(1+$C$9)</f>
        <v>526333.2693463725</v>
      </c>
      <c r="S18" s="45">
        <f>R18*(1+$C$9)</f>
        <v>578966.5962810097</v>
      </c>
      <c r="T18" s="45">
        <f>S18*(1+$C$9)</f>
        <v>636863.2559091108</v>
      </c>
      <c r="U18" s="45">
        <f>T18*(1+$C$9)</f>
        <v>700549.5815000219</v>
      </c>
      <c r="V18" s="45">
        <f>U18*(1+$C$9)</f>
        <v>770604.5396500241</v>
      </c>
    </row>
    <row r="19" spans="1:22" ht="12.75">
      <c r="A19" s="6" t="s">
        <v>10</v>
      </c>
      <c r="B19" s="6"/>
      <c r="C19" s="13">
        <f>SUM(C17:C18)</f>
        <v>187200</v>
      </c>
      <c r="D19" s="13">
        <f>SUM(D17:D18)</f>
        <v>242640</v>
      </c>
      <c r="E19" s="13">
        <f>SUM(E17:E18)</f>
        <v>330960</v>
      </c>
      <c r="F19" s="13">
        <f>SUM(F17:F18)</f>
        <v>476256</v>
      </c>
      <c r="G19" s="13">
        <f>SUM(G17:G18)</f>
        <v>601019.1</v>
      </c>
      <c r="H19" s="13">
        <f>SUM(H17:H18)</f>
        <v>765256.6350000001</v>
      </c>
      <c r="I19" s="13">
        <f>SUM(I17:I18)</f>
        <v>982365.3922500001</v>
      </c>
      <c r="J19" s="13">
        <f>SUM(J17:J18)</f>
        <v>1270389.1080375004</v>
      </c>
      <c r="K19" s="13">
        <f>SUM(K17:K18)</f>
        <v>1653640.7072006254</v>
      </c>
      <c r="L19" s="13">
        <f>SUM(L17:L18)</f>
        <v>2164891.9072058448</v>
      </c>
      <c r="M19" s="13">
        <f>SUM(M17:M18)</f>
        <v>2848328.722461391</v>
      </c>
      <c r="N19" s="13">
        <f>SUM(N17:N18)</f>
        <v>3385313.311956409</v>
      </c>
      <c r="O19" s="13">
        <f>SUM(O17:O18)</f>
        <v>4026426.7038507047</v>
      </c>
      <c r="P19" s="13">
        <f>SUM(P17:P18)</f>
        <v>4792167.84707416</v>
      </c>
      <c r="Q19" s="13">
        <f>SUM(Q17:Q18)</f>
        <v>5707102.79918764</v>
      </c>
      <c r="R19" s="13">
        <f>SUM(R17:R18)</f>
        <v>6800674.879993679</v>
      </c>
      <c r="S19" s="13">
        <f>SUM(S17:S18)</f>
        <v>8108176.529057778</v>
      </c>
      <c r="T19" s="13">
        <f>SUM(T17:T18)</f>
        <v>9671915.175241234</v>
      </c>
      <c r="U19" s="13">
        <f>SUM(U17:U18)</f>
        <v>11542611.884698566</v>
      </c>
      <c r="V19" s="13">
        <f>SUM(V17:V18)</f>
        <v>13781079.303488279</v>
      </c>
    </row>
    <row r="20" spans="1:22" ht="12.75">
      <c r="A20" s="6"/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2.75">
      <c r="A21" s="6" t="s">
        <v>11</v>
      </c>
      <c r="B21" s="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2.75">
      <c r="A22" s="8" t="s">
        <v>12</v>
      </c>
      <c r="B22" s="46">
        <v>0.4</v>
      </c>
      <c r="C22" s="45">
        <f>C18*$B$22</f>
        <v>50400</v>
      </c>
      <c r="D22" s="45">
        <f>D18*$B$22</f>
        <v>55440</v>
      </c>
      <c r="E22" s="45">
        <f>E18*$B$22</f>
        <v>60984</v>
      </c>
      <c r="F22" s="45">
        <f>F18*$B$22</f>
        <v>67082.40000000001</v>
      </c>
      <c r="G22" s="45">
        <f>G18*$B$22</f>
        <v>73790.64</v>
      </c>
      <c r="H22" s="45">
        <f>H18*$B$22</f>
        <v>81169.70400000001</v>
      </c>
      <c r="I22" s="45">
        <f>I18*$B$22</f>
        <v>89286.67440000002</v>
      </c>
      <c r="J22" s="45">
        <f>J18*$B$22</f>
        <v>98215.34184000002</v>
      </c>
      <c r="K22" s="45">
        <f>K18*$B$22</f>
        <v>108036.87602400003</v>
      </c>
      <c r="L22" s="45">
        <f>L18*$B$22</f>
        <v>118840.56362640003</v>
      </c>
      <c r="M22" s="45">
        <f>M18*$B$22</f>
        <v>130724.61998904006</v>
      </c>
      <c r="N22" s="45">
        <f>N18*$B$22</f>
        <v>143797.08198794405</v>
      </c>
      <c r="O22" s="45">
        <f>O18*$B$22</f>
        <v>158176.79018673848</v>
      </c>
      <c r="P22" s="45">
        <f>P18*$B$22</f>
        <v>173994.46920541234</v>
      </c>
      <c r="Q22" s="45">
        <f>Q18*$B$22</f>
        <v>191393.9161259536</v>
      </c>
      <c r="R22" s="45">
        <f>R18*$B$22</f>
        <v>210533.307738549</v>
      </c>
      <c r="S22" s="45">
        <f>S18*$B$22</f>
        <v>231586.6385124039</v>
      </c>
      <c r="T22" s="45">
        <f>T18*$B$22</f>
        <v>254745.30236364432</v>
      </c>
      <c r="U22" s="45">
        <f>U18*$B$22</f>
        <v>280219.83260000875</v>
      </c>
      <c r="V22" s="45">
        <f>V18*$B$22</f>
        <v>308241.8158600097</v>
      </c>
    </row>
    <row r="23" spans="1:22" s="49" customFormat="1" ht="12.75">
      <c r="A23" s="47" t="s">
        <v>13</v>
      </c>
      <c r="B23" s="48"/>
      <c r="C23" s="20">
        <f>(C18-C22)/C18</f>
        <v>0.6</v>
      </c>
      <c r="D23" s="20">
        <f>(D18-D22)/D18</f>
        <v>0.6</v>
      </c>
      <c r="E23" s="20">
        <f>(E18-E22)/E18</f>
        <v>0.6</v>
      </c>
      <c r="F23" s="20">
        <f>(F18-F22)/F18</f>
        <v>0.6</v>
      </c>
      <c r="G23" s="20">
        <f>(G18-G22)/G18</f>
        <v>0.6</v>
      </c>
      <c r="H23" s="20">
        <f>(H18-H22)/H18</f>
        <v>0.6</v>
      </c>
      <c r="I23" s="20">
        <f>(I18-I22)/I18</f>
        <v>0.6</v>
      </c>
      <c r="J23" s="20">
        <f>(J18-J22)/J18</f>
        <v>0.6</v>
      </c>
      <c r="K23" s="20">
        <f>(K18-K22)/K18</f>
        <v>0.6</v>
      </c>
      <c r="L23" s="20">
        <f>(L18-L22)/L18</f>
        <v>0.6000000000000001</v>
      </c>
      <c r="M23" s="20">
        <f>(M18-M22)/M18</f>
        <v>0.6</v>
      </c>
      <c r="N23" s="20">
        <f>(N18-N22)/N18</f>
        <v>0.6</v>
      </c>
      <c r="O23" s="20">
        <f>(O18-O22)/O18</f>
        <v>0.6</v>
      </c>
      <c r="P23" s="20">
        <f>(P18-P22)/P18</f>
        <v>0.6</v>
      </c>
      <c r="Q23" s="20">
        <f>(Q18-Q22)/Q18</f>
        <v>0.6</v>
      </c>
      <c r="R23" s="20">
        <f>(R18-R22)/R18</f>
        <v>0.6000000000000001</v>
      </c>
      <c r="S23" s="20">
        <f>(S18-S22)/S18</f>
        <v>0.5999999999999999</v>
      </c>
      <c r="T23" s="20">
        <f>(T18-T22)/T18</f>
        <v>0.6</v>
      </c>
      <c r="U23" s="20">
        <f>(U18-U22)/U18</f>
        <v>0.6</v>
      </c>
      <c r="V23" s="20">
        <f>(V18-V22)/V18</f>
        <v>0.6</v>
      </c>
    </row>
    <row r="24" spans="1:22" ht="12.75">
      <c r="A24" s="8"/>
      <c r="B24" s="5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2.75">
      <c r="A25" s="8" t="s">
        <v>40</v>
      </c>
      <c r="B25" s="51">
        <v>0.1</v>
      </c>
      <c r="C25" s="52">
        <f>C17*$B$25</f>
        <v>6120</v>
      </c>
      <c r="D25" s="52">
        <f>D17*$B$25</f>
        <v>10404</v>
      </c>
      <c r="E25" s="52">
        <f>E17*$B$25</f>
        <v>17850</v>
      </c>
      <c r="F25" s="52">
        <f>F17*$B$25</f>
        <v>30855</v>
      </c>
      <c r="G25" s="52">
        <f>G17*$B$25</f>
        <v>41654.25</v>
      </c>
      <c r="H25" s="52">
        <f>H17*$B$25</f>
        <v>56233.23750000002</v>
      </c>
      <c r="I25" s="52">
        <f>I17*$B$25</f>
        <v>75914.87062500003</v>
      </c>
      <c r="J25" s="52">
        <f>J17*$B$25</f>
        <v>102485.07534375004</v>
      </c>
      <c r="K25" s="52">
        <f>K17*$B$25</f>
        <v>138354.85171406256</v>
      </c>
      <c r="L25" s="52">
        <f>L17*$B$25</f>
        <v>186779.0498139845</v>
      </c>
      <c r="M25" s="52">
        <f>M17*$B$25</f>
        <v>252151.71724887905</v>
      </c>
      <c r="N25" s="52">
        <f>N17*$B$25</f>
        <v>302582.0606986549</v>
      </c>
      <c r="O25" s="52">
        <f>O17*$B$25</f>
        <v>363098.4728383859</v>
      </c>
      <c r="P25" s="52">
        <f>P17*$B$25</f>
        <v>435718.167406063</v>
      </c>
      <c r="Q25" s="52">
        <f>Q17*$B$25</f>
        <v>522861.8008872756</v>
      </c>
      <c r="R25" s="52">
        <f>R17*$B$25</f>
        <v>627434.1610647307</v>
      </c>
      <c r="S25" s="52">
        <f>S17*$B$25</f>
        <v>752920.9932776769</v>
      </c>
      <c r="T25" s="52">
        <f>T17*$B$25</f>
        <v>903505.1919332123</v>
      </c>
      <c r="U25" s="52">
        <f>U17*$B$25</f>
        <v>1084206.2303198546</v>
      </c>
      <c r="V25" s="52">
        <f>V17*$B$25</f>
        <v>1301047.4763838255</v>
      </c>
    </row>
    <row r="26" spans="1:22" ht="12.75">
      <c r="A26" s="8" t="s">
        <v>14</v>
      </c>
      <c r="B26" s="46">
        <v>0.1</v>
      </c>
      <c r="C26" s="45">
        <f>C18*$B$26</f>
        <v>12600</v>
      </c>
      <c r="D26" s="45">
        <f>D18*$B$26</f>
        <v>13860</v>
      </c>
      <c r="E26" s="45">
        <f>E18*$B$26</f>
        <v>15246</v>
      </c>
      <c r="F26" s="45">
        <f>F18*$B$26</f>
        <v>16770.600000000002</v>
      </c>
      <c r="G26" s="45">
        <f>G18*$B$26</f>
        <v>18447.66</v>
      </c>
      <c r="H26" s="45">
        <f>H18*$B$26</f>
        <v>20292.426000000003</v>
      </c>
      <c r="I26" s="45">
        <f>I18*$B$26</f>
        <v>22321.668600000005</v>
      </c>
      <c r="J26" s="45">
        <f>J18*$B$26</f>
        <v>24553.835460000006</v>
      </c>
      <c r="K26" s="45">
        <f>K18*$B$26</f>
        <v>27009.219006000007</v>
      </c>
      <c r="L26" s="45">
        <f>L18*$B$26</f>
        <v>29710.14090660001</v>
      </c>
      <c r="M26" s="45">
        <f>M18*$B$26</f>
        <v>32681.154997260015</v>
      </c>
      <c r="N26" s="45">
        <f>N18*$B$26</f>
        <v>35949.27049698601</v>
      </c>
      <c r="O26" s="45">
        <f>O18*$B$26</f>
        <v>39544.19754668462</v>
      </c>
      <c r="P26" s="45">
        <f>P18*$B$26</f>
        <v>43498.617301353086</v>
      </c>
      <c r="Q26" s="45">
        <f>Q18*$B$26</f>
        <v>47848.4790314884</v>
      </c>
      <c r="R26" s="45">
        <f>R18*$B$26</f>
        <v>52633.32693463725</v>
      </c>
      <c r="S26" s="45">
        <f>S18*$B$26</f>
        <v>57896.65962810098</v>
      </c>
      <c r="T26" s="45">
        <f>T18*$B$26</f>
        <v>63686.32559091108</v>
      </c>
      <c r="U26" s="45">
        <f>U18*$B$26</f>
        <v>70054.95815000219</v>
      </c>
      <c r="V26" s="45">
        <f>V18*$B$26</f>
        <v>77060.45396500242</v>
      </c>
    </row>
    <row r="27" spans="1:22" ht="12.75">
      <c r="A27" s="8" t="s">
        <v>15</v>
      </c>
      <c r="B27" s="46">
        <v>0.43</v>
      </c>
      <c r="C27" s="45">
        <f>C18*$B$27</f>
        <v>54180</v>
      </c>
      <c r="D27" s="45">
        <f>D18*$B$27</f>
        <v>59598</v>
      </c>
      <c r="E27" s="45">
        <f>E18*$B$27</f>
        <v>65557.8</v>
      </c>
      <c r="F27" s="45">
        <f>F18*$B$27</f>
        <v>72113.58</v>
      </c>
      <c r="G27" s="45">
        <f>G18*$B$27</f>
        <v>79324.938</v>
      </c>
      <c r="H27" s="45">
        <f>H18*$B$27</f>
        <v>87257.4318</v>
      </c>
      <c r="I27" s="45">
        <f>I18*$B$27</f>
        <v>95983.17498000001</v>
      </c>
      <c r="J27" s="45">
        <f>J18*$B$27</f>
        <v>105581.49247800001</v>
      </c>
      <c r="K27" s="45">
        <f>K18*$B$27</f>
        <v>116139.64172580001</v>
      </c>
      <c r="L27" s="45">
        <f>L18*$B$27</f>
        <v>127753.60589838003</v>
      </c>
      <c r="M27" s="45">
        <f>M18*$B$27</f>
        <v>140528.96648821805</v>
      </c>
      <c r="N27" s="45">
        <f>N18*$B$27</f>
        <v>154581.86313703985</v>
      </c>
      <c r="O27" s="45">
        <f>O18*$B$27</f>
        <v>170040.04945074386</v>
      </c>
      <c r="P27" s="45">
        <f>P18*$B$27</f>
        <v>187044.05439581827</v>
      </c>
      <c r="Q27" s="45">
        <f>Q18*$B$27</f>
        <v>205748.4598354001</v>
      </c>
      <c r="R27" s="45">
        <f>R18*$B$27</f>
        <v>226323.30581894016</v>
      </c>
      <c r="S27" s="45">
        <f>S18*$B$27</f>
        <v>248955.6364008342</v>
      </c>
      <c r="T27" s="45">
        <f>T18*$B$27</f>
        <v>273851.2000409176</v>
      </c>
      <c r="U27" s="45">
        <f>U18*$B$27</f>
        <v>301236.3200450094</v>
      </c>
      <c r="V27" s="45">
        <f>V18*$B$27</f>
        <v>331359.9520495104</v>
      </c>
    </row>
    <row r="28" spans="1:22" ht="12.75">
      <c r="A28" s="8" t="s">
        <v>16</v>
      </c>
      <c r="B28" s="41"/>
      <c r="C28" s="45">
        <f>(C15*$C$12)*$C$5</f>
        <v>19247.4</v>
      </c>
      <c r="D28" s="45">
        <f>(D15*$C$12)*$C$5</f>
        <v>32720.580000000005</v>
      </c>
      <c r="E28" s="45">
        <f>(E15*$C$12)*$C$5</f>
        <v>56138.25</v>
      </c>
      <c r="F28" s="45">
        <f>(F15*$C$12)*$C$5</f>
        <v>97038.975</v>
      </c>
      <c r="G28" s="45">
        <f>(G15*$C$12)*$C$5</f>
        <v>131002.61625000002</v>
      </c>
      <c r="H28" s="45">
        <f>(H15*$C$12)*$C$5</f>
        <v>176853.53193750003</v>
      </c>
      <c r="I28" s="45">
        <f>(I15*$C$12)*$C$5</f>
        <v>238752.26811562508</v>
      </c>
      <c r="J28" s="45">
        <f>(J15*$C$12)*$C$5</f>
        <v>322315.5619560939</v>
      </c>
      <c r="K28" s="45">
        <f>(K15*$C$12)*$C$5</f>
        <v>435126.0086407268</v>
      </c>
      <c r="L28" s="45">
        <f>(L15*$C$12)*$C$5</f>
        <v>587420.1116649811</v>
      </c>
      <c r="M28" s="45">
        <f>(M15*$C$12)*$C$5</f>
        <v>793017.1507477247</v>
      </c>
      <c r="N28" s="45">
        <f>(N15*$C$12)*$C$5</f>
        <v>951620.5808972697</v>
      </c>
      <c r="O28" s="45">
        <f>(O15*$C$12)*$C$5</f>
        <v>1141944.6970767237</v>
      </c>
      <c r="P28" s="45">
        <f>(P15*$C$12)*$C$5</f>
        <v>1370333.6364920682</v>
      </c>
      <c r="Q28" s="45">
        <f>(Q15*$C$12)*$C$5</f>
        <v>1644400.3637904818</v>
      </c>
      <c r="R28" s="45">
        <f>(R15*$C$12)*$C$5</f>
        <v>1973280.436548578</v>
      </c>
      <c r="S28" s="45">
        <f>(S15*$C$12)*$C$5</f>
        <v>2367936.5238582934</v>
      </c>
      <c r="T28" s="45">
        <f>(T15*$C$12)*$C$5</f>
        <v>2841523.8286299524</v>
      </c>
      <c r="U28" s="45">
        <f>(U15*$C$12)*$C$5</f>
        <v>3409828.5943559427</v>
      </c>
      <c r="V28" s="45">
        <f>(V15*$C$12)*$C$5</f>
        <v>4091794.3132271315</v>
      </c>
    </row>
    <row r="29" spans="1:22" ht="12.75">
      <c r="A29" s="8" t="s">
        <v>41</v>
      </c>
      <c r="B29" s="41"/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ht="12.75">
      <c r="A30" s="53" t="s">
        <v>18</v>
      </c>
      <c r="B30" s="54"/>
      <c r="C30" s="55">
        <f>C19-C22-SUM(C26:C29)</f>
        <v>50772.600000000006</v>
      </c>
      <c r="D30" s="55">
        <f>D19-D22-SUM(D26:D29)</f>
        <v>81021.42</v>
      </c>
      <c r="E30" s="55">
        <f>E19-E22-SUM(E26:E29)</f>
        <v>133033.95</v>
      </c>
      <c r="F30" s="55">
        <f>F19-F22-SUM(F26:F29)</f>
        <v>223250.44499999998</v>
      </c>
      <c r="G30" s="55">
        <f>G19-G22-SUM(G26:G29)</f>
        <v>298453.24574999994</v>
      </c>
      <c r="H30" s="55">
        <f>H19-H22-SUM(H26:H29)</f>
        <v>399683.5412625001</v>
      </c>
      <c r="I30" s="55">
        <f>I19-I22-SUM(I26:I29)</f>
        <v>536021.606154375</v>
      </c>
      <c r="J30" s="55">
        <f>J19-J22-SUM(J26:J29)</f>
        <v>719722.8763034064</v>
      </c>
      <c r="K30" s="55">
        <f>K19-K22-SUM(K26:K29)</f>
        <v>967328.9618040986</v>
      </c>
      <c r="L30" s="55">
        <f>L19-L22-SUM(L26:L29)</f>
        <v>1301167.4851094836</v>
      </c>
      <c r="M30" s="55">
        <f>M19-M22-SUM(M26:M29)</f>
        <v>1751376.8302391483</v>
      </c>
      <c r="N30" s="55">
        <f>N19-N22-SUM(N26:N29)</f>
        <v>2099364.515437169</v>
      </c>
      <c r="O30" s="55">
        <f>O19-O22-SUM(O26:O29)</f>
        <v>2516720.9695898136</v>
      </c>
      <c r="P30" s="55">
        <f>P19-P22-SUM(P26:P29)</f>
        <v>3017297.069679509</v>
      </c>
      <c r="Q30" s="55">
        <f>Q19-Q22-SUM(Q26:Q29)</f>
        <v>3617711.580404316</v>
      </c>
      <c r="R30" s="55">
        <f>R19-R22-SUM(R26:R29)</f>
        <v>4337904.502952974</v>
      </c>
      <c r="S30" s="55">
        <f>S19-S22-SUM(S26:S29)</f>
        <v>5201801.0706581455</v>
      </c>
      <c r="T30" s="55">
        <f>T19-T22-SUM(T26:T29)</f>
        <v>6238108.51861581</v>
      </c>
      <c r="U30" s="55">
        <f>U19-U22-SUM(U26:U29)</f>
        <v>7481272.179547603</v>
      </c>
      <c r="V30" s="55">
        <f>V19-V22-SUM(V26:V29)</f>
        <v>8972622.768386625</v>
      </c>
    </row>
    <row r="31" spans="1:22" ht="12.75">
      <c r="A31" s="25" t="s">
        <v>19</v>
      </c>
      <c r="B31" s="41"/>
      <c r="C31" s="56">
        <f>C30/C17</f>
        <v>0.8296176470588236</v>
      </c>
      <c r="D31" s="56">
        <f>D30/D17</f>
        <v>0.7787525951557093</v>
      </c>
      <c r="E31" s="56">
        <f>E30/E17</f>
        <v>0.7452882352941177</v>
      </c>
      <c r="F31" s="56">
        <f>F30/F17</f>
        <v>0.7235470588235293</v>
      </c>
      <c r="G31" s="56">
        <f>G30/G17</f>
        <v>0.7165013071895423</v>
      </c>
      <c r="H31" s="56">
        <f>H30/H17</f>
        <v>0.7107603243766643</v>
      </c>
      <c r="I31" s="56">
        <f>I30/I17</f>
        <v>0.7060824865291337</v>
      </c>
      <c r="J31" s="56">
        <f>J30/J17</f>
        <v>0.7022709149496645</v>
      </c>
      <c r="K31" s="56">
        <f>K30/K17</f>
        <v>0.6991651899589858</v>
      </c>
      <c r="L31" s="56">
        <f>L30/L17</f>
        <v>0.6966345992258405</v>
      </c>
      <c r="M31" s="56">
        <f>M30/M17</f>
        <v>0.6945726364062406</v>
      </c>
      <c r="N31" s="56">
        <f>N30/N17</f>
        <v>0.6938165833723868</v>
      </c>
      <c r="O31" s="56">
        <f>O30/O17</f>
        <v>0.6931235347580212</v>
      </c>
      <c r="P31" s="56">
        <f>P30/P17</f>
        <v>0.692488240194853</v>
      </c>
      <c r="Q31" s="56">
        <f>Q30/Q17</f>
        <v>0.6919058868452819</v>
      </c>
      <c r="R31" s="56">
        <f>R30/R17</f>
        <v>0.6913720629415083</v>
      </c>
      <c r="S31" s="56">
        <f>S30/S17</f>
        <v>0.6908827243630493</v>
      </c>
      <c r="T31" s="56">
        <f>T30/T17</f>
        <v>0.6904341639994622</v>
      </c>
      <c r="U31" s="56">
        <f>U30/U17</f>
        <v>0.6900229836661734</v>
      </c>
      <c r="V31" s="56">
        <f>V30/V17</f>
        <v>0.689646068360659</v>
      </c>
    </row>
    <row r="32" spans="1:22" ht="12.75">
      <c r="A32" s="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ht="12.75">
      <c r="A33" s="6" t="s">
        <v>20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ht="12.75">
      <c r="A34" s="8" t="s">
        <v>21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ht="12.75">
      <c r="A35" s="8" t="s">
        <v>22</v>
      </c>
      <c r="C35" s="42">
        <f>(C15*$C$12)*$C$6</f>
        <v>34645.32</v>
      </c>
      <c r="D35" s="42">
        <f>(D15*$C$12)*$C$6</f>
        <v>58897.04400000001</v>
      </c>
      <c r="E35" s="42">
        <f>(E15*$C$12)*$C$6</f>
        <v>101048.84999999999</v>
      </c>
      <c r="F35" s="42">
        <f>(F15*$C$12)*$C$6</f>
        <v>174670.155</v>
      </c>
      <c r="G35" s="42">
        <f>(G15*$C$12)*$C$6</f>
        <v>235804.70925</v>
      </c>
      <c r="H35" s="42">
        <f>(H15*$C$12)*$C$6</f>
        <v>318336.3574875</v>
      </c>
      <c r="I35" s="42">
        <f>(I15*$C$12)*$C$6</f>
        <v>429754.0826081251</v>
      </c>
      <c r="J35" s="42">
        <f>(J15*$C$12)*$C$6</f>
        <v>580168.0115209689</v>
      </c>
      <c r="K35" s="42">
        <f>(K15*$C$12)*$C$6</f>
        <v>783226.8155533081</v>
      </c>
      <c r="L35" s="42">
        <f>(L15*$C$12)*$C$6</f>
        <v>1057356.2009969659</v>
      </c>
      <c r="M35" s="42">
        <f>(M15*$C$12)*$C$6</f>
        <v>1427430.8713459042</v>
      </c>
      <c r="N35" s="42">
        <f>(N15*$C$12)*$C$6</f>
        <v>1712917.0456150852</v>
      </c>
      <c r="O35" s="42">
        <f>(O15*$C$12)*$C$6</f>
        <v>2055500.4547381024</v>
      </c>
      <c r="P35" s="42">
        <f>(P15*$C$12)*$C$6</f>
        <v>2466600.5456857225</v>
      </c>
      <c r="Q35" s="42">
        <f>(Q15*$C$12)*$C$6</f>
        <v>2959920.654822867</v>
      </c>
      <c r="R35" s="42">
        <f>(R15*$C$12)*$C$6</f>
        <v>3551904.7857874404</v>
      </c>
      <c r="S35" s="42">
        <f>(S15*$C$12)*$C$6</f>
        <v>4262285.742944928</v>
      </c>
      <c r="T35" s="42">
        <f>(T15*$C$12)*$C$6</f>
        <v>5114742.891533914</v>
      </c>
      <c r="U35" s="42">
        <f>(U15*$C$12)*$C$6</f>
        <v>6137691.469840696</v>
      </c>
      <c r="V35" s="42">
        <f>(V15*$C$12)*$C$6</f>
        <v>7365229.763808836</v>
      </c>
    </row>
    <row r="36" spans="1:22" ht="12.75">
      <c r="A36" s="23" t="s">
        <v>42</v>
      </c>
      <c r="B36" s="58"/>
      <c r="C36" s="59">
        <f>C30+C34-C35</f>
        <v>16127.280000000006</v>
      </c>
      <c r="D36" s="59">
        <f>D30+D34-D35</f>
        <v>22124.37599999999</v>
      </c>
      <c r="E36" s="59">
        <f>E30+E34-E35</f>
        <v>31985.10000000002</v>
      </c>
      <c r="F36" s="59">
        <f>F30+F34-F35</f>
        <v>48580.28999999998</v>
      </c>
      <c r="G36" s="59">
        <f>G30+G34-G35</f>
        <v>62648.53649999993</v>
      </c>
      <c r="H36" s="59">
        <f>H30+H34-H35</f>
        <v>81347.1837750001</v>
      </c>
      <c r="I36" s="59">
        <f>I30+I34-I35</f>
        <v>106267.5235462499</v>
      </c>
      <c r="J36" s="59">
        <f>J30+J34-J35</f>
        <v>139554.86478243757</v>
      </c>
      <c r="K36" s="59">
        <f>K30+K34-K35</f>
        <v>184102.14625079045</v>
      </c>
      <c r="L36" s="59">
        <f>L30+L34-L35</f>
        <v>243811.28411251772</v>
      </c>
      <c r="M36" s="59">
        <f>M30+M34-M35</f>
        <v>323945.95889324415</v>
      </c>
      <c r="N36" s="59">
        <f>N30+N34-N35</f>
        <v>386447.46982208383</v>
      </c>
      <c r="O36" s="59">
        <f>O30+O34-O35</f>
        <v>461220.5148517112</v>
      </c>
      <c r="P36" s="59">
        <f>P30+P34-P35</f>
        <v>550696.5239937864</v>
      </c>
      <c r="Q36" s="59">
        <f>Q30+Q34-Q35</f>
        <v>657790.9255814492</v>
      </c>
      <c r="R36" s="59">
        <f>R30+R34-R35</f>
        <v>785999.7171655339</v>
      </c>
      <c r="S36" s="59">
        <f>S30+S34-S35</f>
        <v>939515.3277132176</v>
      </c>
      <c r="T36" s="59">
        <f>T30+T34-T35</f>
        <v>1123365.6270818962</v>
      </c>
      <c r="U36" s="59">
        <f>U30+U34-U35</f>
        <v>1343580.7097069072</v>
      </c>
      <c r="V36" s="59">
        <f>V30+V34-V35</f>
        <v>1607393.0045777885</v>
      </c>
    </row>
    <row r="37" spans="1:22" ht="12.75">
      <c r="A37" s="60" t="s">
        <v>43</v>
      </c>
      <c r="C37" s="21">
        <f>C36/C17</f>
        <v>0.26351764705882363</v>
      </c>
      <c r="D37" s="21">
        <f>D36/D17</f>
        <v>0.21265259515570925</v>
      </c>
      <c r="E37" s="21">
        <f>E36/E17</f>
        <v>0.17918823529411776</v>
      </c>
      <c r="F37" s="21">
        <f>F36/F17</f>
        <v>0.15744705882352936</v>
      </c>
      <c r="G37" s="21">
        <f>G36/G17</f>
        <v>0.1504013071895423</v>
      </c>
      <c r="H37" s="21">
        <f>H36/H17</f>
        <v>0.1446603243766644</v>
      </c>
      <c r="I37" s="21">
        <f>I36/I17</f>
        <v>0.13998248652913367</v>
      </c>
      <c r="J37" s="21">
        <f>J36/J17</f>
        <v>0.13617091494966463</v>
      </c>
      <c r="K37" s="21">
        <f>K36/K17</f>
        <v>0.1330651899589858</v>
      </c>
      <c r="L37" s="21">
        <f>L36/L17</f>
        <v>0.13053459922584054</v>
      </c>
      <c r="M37" s="21">
        <f>M36/M17</f>
        <v>0.12847263640624057</v>
      </c>
      <c r="N37" s="21">
        <f>N36/N17</f>
        <v>0.1277165833723869</v>
      </c>
      <c r="O37" s="21">
        <f>O36/O17</f>
        <v>0.1270235347580212</v>
      </c>
      <c r="P37" s="21">
        <f>P36/P17</f>
        <v>0.12638824019485298</v>
      </c>
      <c r="Q37" s="21">
        <f>Q36/Q17</f>
        <v>0.12580588684528193</v>
      </c>
      <c r="R37" s="21">
        <f>R36/R17</f>
        <v>0.12527206294150828</v>
      </c>
      <c r="S37" s="21">
        <f>S36/S17</f>
        <v>0.12478272436304945</v>
      </c>
      <c r="T37" s="21">
        <f>T36/T17</f>
        <v>0.12433416399946223</v>
      </c>
      <c r="U37" s="21">
        <f>U36/U17</f>
        <v>0.12392298366617337</v>
      </c>
      <c r="V37" s="21">
        <f>V36/V17</f>
        <v>0.12354606836065891</v>
      </c>
    </row>
    <row r="38" spans="3:22" ht="12.7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12.75">
      <c r="A39" s="2" t="s">
        <v>44</v>
      </c>
      <c r="C39" s="61">
        <f>(C36*0.794)/54599.358</f>
        <v>0.23452767191877982</v>
      </c>
      <c r="D39" s="61">
        <f>(D36*0.794)/54599.358</f>
        <v>0.32173921429625585</v>
      </c>
      <c r="E39" s="61">
        <f>(E36*0.794)/54599.358</f>
        <v>0.4651367768829812</v>
      </c>
      <c r="F39" s="61">
        <f>(F36*0.794)/54599.358</f>
        <v>0.7064689343050514</v>
      </c>
      <c r="G39" s="61">
        <f>(G36*0.794)/54599.358</f>
        <v>0.9110535325525246</v>
      </c>
      <c r="H39" s="61">
        <f>(H36*0.794)/54599.358</f>
        <v>1.1829747873106875</v>
      </c>
      <c r="I39" s="61">
        <f>(I36*0.794)/54599.358</f>
        <v>1.5453737330706787</v>
      </c>
      <c r="J39" s="61">
        <f>(J36*0.794)/54599.358</f>
        <v>2.0294480868667986</v>
      </c>
      <c r="K39" s="61">
        <f>(K36*0.794)/54599.358</f>
        <v>2.6772678192136916</v>
      </c>
      <c r="L39" s="61">
        <f>(L36*0.794)/54599.358</f>
        <v>3.5455757480763617</v>
      </c>
      <c r="M39" s="61">
        <f>(M36*0.794)/54599.358</f>
        <v>4.710917871254748</v>
      </c>
      <c r="N39" s="61">
        <f>(N36*0.794)/54599.358</f>
        <v>5.619833314500412</v>
      </c>
      <c r="O39" s="61">
        <f>(O36*0.794)/54599.358</f>
        <v>6.707205033294691</v>
      </c>
      <c r="P39" s="61">
        <f>(P36*0.794)/54599.358</f>
        <v>8.008391601437262</v>
      </c>
      <c r="Q39" s="61">
        <f>(Q36*0.794)/54599.358</f>
        <v>9.565790039356703</v>
      </c>
      <c r="R39" s="61">
        <f>(R36*0.794)/54599.358</f>
        <v>11.43024017662321</v>
      </c>
      <c r="S39" s="61">
        <f>(S36*0.794)/54599.358</f>
        <v>13.662709554282577</v>
      </c>
      <c r="T39" s="61">
        <f>(T36*0.794)/54599.358</f>
        <v>16.336314941707293</v>
      </c>
      <c r="U39" s="61">
        <f>(U36*0.794)/54599.358</f>
        <v>19.538747754273672</v>
      </c>
      <c r="V39" s="61">
        <f>(V36*0.794)/54599.358</f>
        <v>23.375184111775898</v>
      </c>
    </row>
    <row r="40" spans="1:22" ht="12.75">
      <c r="A40" s="2" t="s">
        <v>45</v>
      </c>
      <c r="C40" s="62">
        <f>16/C39</f>
        <v>68.22222669545376</v>
      </c>
      <c r="D40" s="62">
        <f>16/D39</f>
        <v>49.72971676765295</v>
      </c>
      <c r="E40" s="62">
        <f>16/E39</f>
        <v>34.39848404854314</v>
      </c>
      <c r="F40" s="62">
        <f>16/F39</f>
        <v>22.647846526668705</v>
      </c>
      <c r="G40" s="62">
        <f>16/G39</f>
        <v>17.56208546293909</v>
      </c>
      <c r="H40" s="62">
        <f>16/H39</f>
        <v>13.525224858235193</v>
      </c>
      <c r="I40" s="62">
        <f>16/I39</f>
        <v>10.353482563863553</v>
      </c>
      <c r="J40" s="62">
        <f>16/J39</f>
        <v>7.8839168656449345</v>
      </c>
      <c r="K40" s="62">
        <f>16/K39</f>
        <v>5.976241855661332</v>
      </c>
      <c r="L40" s="62">
        <f>16/L39</f>
        <v>4.512666245723487</v>
      </c>
      <c r="M40" s="62">
        <f>16/M39</f>
        <v>3.396365726863843</v>
      </c>
      <c r="N40" s="62">
        <f>16/N39</f>
        <v>2.84705953087905</v>
      </c>
      <c r="O40" s="62">
        <f>16/O39</f>
        <v>2.3854943930557813</v>
      </c>
      <c r="P40" s="62">
        <f>16/P39</f>
        <v>1.9979042979277497</v>
      </c>
      <c r="Q40" s="62">
        <f>16/Q39</f>
        <v>1.6726271363024812</v>
      </c>
      <c r="R40" s="62">
        <f>16/R39</f>
        <v>1.3997956082080172</v>
      </c>
      <c r="S40" s="62">
        <f>16/S39</f>
        <v>1.1710707847833008</v>
      </c>
      <c r="T40" s="62">
        <f>16/T39</f>
        <v>0.9794130473789614</v>
      </c>
      <c r="U40" s="62">
        <f>16/U39</f>
        <v>0.8188856420698891</v>
      </c>
      <c r="V40" s="62">
        <f>16/V39</f>
        <v>0.6844865872923566</v>
      </c>
    </row>
    <row r="41" spans="3:12" ht="12.75"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3:22" ht="12.75">
      <c r="C42" s="63">
        <v>1</v>
      </c>
      <c r="D42" s="63">
        <v>2</v>
      </c>
      <c r="E42" s="63">
        <v>3</v>
      </c>
      <c r="F42" s="63">
        <v>4</v>
      </c>
      <c r="G42" s="63">
        <v>5</v>
      </c>
      <c r="H42" s="63">
        <v>6</v>
      </c>
      <c r="I42" s="63">
        <v>7</v>
      </c>
      <c r="J42" s="63">
        <v>8</v>
      </c>
      <c r="K42" s="63">
        <v>9</v>
      </c>
      <c r="L42" s="63">
        <v>10</v>
      </c>
      <c r="M42" s="63">
        <v>11</v>
      </c>
      <c r="N42" s="63">
        <v>12</v>
      </c>
      <c r="O42" s="63">
        <v>13</v>
      </c>
      <c r="P42" s="63">
        <v>14</v>
      </c>
      <c r="Q42" s="63">
        <v>15</v>
      </c>
      <c r="R42" s="63">
        <v>16</v>
      </c>
      <c r="S42" s="63">
        <v>17</v>
      </c>
      <c r="T42" s="63">
        <v>18</v>
      </c>
      <c r="U42" s="63">
        <v>19</v>
      </c>
      <c r="V42" s="63">
        <v>20</v>
      </c>
    </row>
    <row r="43" spans="1:22" ht="12.75">
      <c r="A43" s="2" t="s">
        <v>46</v>
      </c>
      <c r="C43" s="64">
        <f>C36/((1+Avkastningskrav!$B$11)^C42)</f>
        <v>14651.098764302065</v>
      </c>
      <c r="D43" s="64">
        <f>D36/((1+Avkastningskrav!$B$11)^D42)</f>
        <v>18259.5121563395</v>
      </c>
      <c r="E43" s="64">
        <f>E36/((1+Avkastningskrav!$B$11)^E42)</f>
        <v>23981.421493515685</v>
      </c>
      <c r="F43" s="64">
        <f>F36/((1+Avkastningskrav!$B$11)^F42)</f>
        <v>33089.97066651808</v>
      </c>
      <c r="G43" s="64">
        <f>G36/((1+Avkastningskrav!$B$11)^G42)</f>
        <v>38766.47199004888</v>
      </c>
      <c r="H43" s="64">
        <f>H36/((1+Avkastningskrav!$B$11)^H42)</f>
        <v>45729.55140563514</v>
      </c>
      <c r="I43" s="64">
        <f>I36/((1+Avkastningskrav!$B$11)^I42)</f>
        <v>54270.528199753404</v>
      </c>
      <c r="J43" s="64">
        <f>J36/((1+Avkastningskrav!$B$11)^J42)</f>
        <v>64746.68514550252</v>
      </c>
      <c r="K43" s="64">
        <f>K36/((1+Avkastningskrav!$B$11)^K42)</f>
        <v>77596.20462846273</v>
      </c>
      <c r="L43" s="64">
        <f>L36/((1+Avkastningskrav!$B$11)^L42)</f>
        <v>93356.48676261239</v>
      </c>
      <c r="M43" s="64">
        <f>M36/((1+Avkastningskrav!$B$11)^M42)</f>
        <v>112686.61528100065</v>
      </c>
      <c r="N43" s="64">
        <f>N36/((1+Avkastningskrav!$B$11)^N42)</f>
        <v>122123.51778219533</v>
      </c>
      <c r="O43" s="64">
        <f>O36/((1+Avkastningskrav!$B$11)^O42)</f>
        <v>132411.74944026791</v>
      </c>
      <c r="P43" s="64">
        <f>P36/((1+Avkastningskrav!$B$11)^P42)</f>
        <v>143628.06590714323</v>
      </c>
      <c r="Q43" s="64">
        <f>Q36/((1+Avkastningskrav!$B$11)^Q42)</f>
        <v>155856.14313860805</v>
      </c>
      <c r="R43" s="64">
        <f>R36/((1+Avkastningskrav!$B$11)^R42)</f>
        <v>169187.2013301756</v>
      </c>
      <c r="S43" s="64">
        <f>S36/((1+Avkastningskrav!$B$11)^S42)</f>
        <v>183720.68510712008</v>
      </c>
      <c r="T43" s="64">
        <f>T36/((1+Avkastningskrav!$B$11)^T42)</f>
        <v>199565.0050405677</v>
      </c>
      <c r="U43" s="64">
        <f>U36/((1+Avkastningskrav!$B$11)^U42)</f>
        <v>216838.34601881632</v>
      </c>
      <c r="V43" s="64">
        <f>V36/((1+Avkastningskrav!$B$11)^V42)</f>
        <v>235669.5485015644</v>
      </c>
    </row>
    <row r="46" ht="12.75">
      <c r="E46" s="28"/>
    </row>
    <row r="47" ht="12.75">
      <c r="E47" s="27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D25" sqref="D25"/>
    </sheetView>
  </sheetViews>
  <sheetFormatPr defaultColWidth="9.140625" defaultRowHeight="12.75"/>
  <cols>
    <col min="1" max="1" width="40.140625" style="0" customWidth="1"/>
    <col min="2" max="2" width="15.28125" style="0" customWidth="1"/>
  </cols>
  <sheetData>
    <row r="1" spans="1:2" ht="12.75">
      <c r="A1" s="1" t="s">
        <v>47</v>
      </c>
      <c r="B1" t="s">
        <v>2</v>
      </c>
    </row>
    <row r="2" ht="12.75">
      <c r="A2" s="1"/>
    </row>
    <row r="3" ht="12.75">
      <c r="A3" s="65" t="s">
        <v>48</v>
      </c>
    </row>
    <row r="4" spans="1:2" ht="12.75">
      <c r="A4" t="s">
        <v>49</v>
      </c>
      <c r="B4" s="66">
        <f>SUM(Resultaträkning!C43:L43)</f>
        <v>464447.9312126904</v>
      </c>
    </row>
    <row r="5" spans="1:2" ht="12.75">
      <c r="A5" t="s">
        <v>50</v>
      </c>
      <c r="B5" s="66">
        <f>((Resultaträkning!L36)/Avkastningskrav!B12)/((1+Avkastningskrav!B11)^10)</f>
        <v>1156036.3457503782</v>
      </c>
    </row>
    <row r="6" spans="1:2" ht="12.75">
      <c r="A6" t="s">
        <v>51</v>
      </c>
      <c r="B6" s="67">
        <v>0</v>
      </c>
    </row>
    <row r="7" spans="1:2" ht="12.75">
      <c r="A7" s="68" t="s">
        <v>52</v>
      </c>
      <c r="B7" s="69">
        <f>SUM(B4:B6)</f>
        <v>1620484.2769630686</v>
      </c>
    </row>
    <row r="8" spans="1:3" ht="12.75">
      <c r="A8" s="70" t="s">
        <v>53</v>
      </c>
      <c r="B8" s="71">
        <v>54599.358</v>
      </c>
      <c r="C8" t="s">
        <v>54</v>
      </c>
    </row>
    <row r="9" spans="1:2" ht="12.75">
      <c r="A9" s="68" t="s">
        <v>55</v>
      </c>
      <c r="B9" s="72">
        <f>B7/B8</f>
        <v>29.67954819108072</v>
      </c>
    </row>
    <row r="11" ht="12.75">
      <c r="A11" s="65" t="s">
        <v>48</v>
      </c>
    </row>
    <row r="12" spans="1:2" ht="12.75">
      <c r="A12" t="s">
        <v>56</v>
      </c>
      <c r="B12" s="66">
        <f>SUM(Resultaträkning!C43:V43)</f>
        <v>2136134.8087601494</v>
      </c>
    </row>
    <row r="13" spans="1:2" ht="12.75">
      <c r="A13" t="s">
        <v>50</v>
      </c>
      <c r="B13" s="66">
        <f>((Resultaträkning!V36)/Avkastningskrav!B12)/((1+Avkastningskrav!B11)^20)</f>
        <v>2918303.517003153</v>
      </c>
    </row>
    <row r="14" spans="1:2" ht="12.75">
      <c r="A14" t="s">
        <v>51</v>
      </c>
      <c r="B14" s="67">
        <v>0</v>
      </c>
    </row>
    <row r="15" spans="1:2" ht="12.75">
      <c r="A15" s="68" t="s">
        <v>52</v>
      </c>
      <c r="B15" s="69">
        <f>SUM(B12:B14)</f>
        <v>5054438.325763302</v>
      </c>
    </row>
    <row r="16" spans="1:2" ht="12.75">
      <c r="A16" s="70" t="s">
        <v>53</v>
      </c>
      <c r="B16" s="71">
        <v>54599.358</v>
      </c>
    </row>
    <row r="17" spans="1:2" ht="12.75">
      <c r="A17" s="68" t="s">
        <v>55</v>
      </c>
      <c r="B17" s="72">
        <f>B15/B16</f>
        <v>92.5732190067748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26.140625" style="0" customWidth="1"/>
    <col min="2" max="2" width="12.00390625" style="0" customWidth="1"/>
    <col min="4" max="4" width="10.28125" style="0" customWidth="1"/>
  </cols>
  <sheetData>
    <row r="1" ht="12.75">
      <c r="A1" s="1" t="s">
        <v>3</v>
      </c>
    </row>
    <row r="4" spans="1:3" ht="12.75">
      <c r="A4" t="s">
        <v>57</v>
      </c>
      <c r="B4" s="73">
        <v>0.04</v>
      </c>
      <c r="C4" t="s">
        <v>58</v>
      </c>
    </row>
    <row r="5" spans="1:3" ht="12.75">
      <c r="A5" t="s">
        <v>59</v>
      </c>
      <c r="B5" s="74">
        <v>0.04</v>
      </c>
      <c r="C5" s="75" t="s">
        <v>60</v>
      </c>
    </row>
    <row r="6" spans="1:3" ht="12.75">
      <c r="A6" t="s">
        <v>61</v>
      </c>
      <c r="B6" s="76">
        <v>1.5</v>
      </c>
      <c r="C6" t="s">
        <v>62</v>
      </c>
    </row>
    <row r="7" spans="1:3" ht="12.75">
      <c r="A7" t="s">
        <v>63</v>
      </c>
      <c r="B7" s="77">
        <v>0.20600000000000002</v>
      </c>
      <c r="C7" t="s">
        <v>64</v>
      </c>
    </row>
    <row r="8" spans="1:3" ht="12.75">
      <c r="A8" s="75" t="s">
        <v>65</v>
      </c>
      <c r="B8" s="73">
        <v>0.02</v>
      </c>
      <c r="C8" s="75" t="s">
        <v>66</v>
      </c>
    </row>
    <row r="9" spans="1:3" ht="12.75">
      <c r="A9" s="75" t="s">
        <v>67</v>
      </c>
      <c r="B9" s="73">
        <v>0.02</v>
      </c>
      <c r="C9" s="75" t="s">
        <v>68</v>
      </c>
    </row>
    <row r="11" spans="1:3" ht="12.75">
      <c r="A11" s="78" t="s">
        <v>69</v>
      </c>
      <c r="B11" s="79">
        <f>((B4-B8+B6*(B5))/(1-B7))</f>
        <v>0.10075566750629722</v>
      </c>
      <c r="C11" s="75" t="s">
        <v>70</v>
      </c>
    </row>
    <row r="12" spans="1:3" ht="12.75">
      <c r="A12" s="78" t="s">
        <v>69</v>
      </c>
      <c r="B12" s="79">
        <f>((B4-B8+B6*(B5))/(1-B7))-B9</f>
        <v>0.08075566750629722</v>
      </c>
      <c r="C12" s="80" t="s">
        <v>71</v>
      </c>
    </row>
    <row r="15" ht="12.75">
      <c r="A15" s="75" t="s">
        <v>1</v>
      </c>
    </row>
    <row r="16" spans="1:4" ht="12.75">
      <c r="A16" s="81" t="s">
        <v>72</v>
      </c>
      <c r="B16" s="82">
        <f>(1+(1-B7)*B11)^(1/250)</f>
        <v>1.000307891553422</v>
      </c>
      <c r="C16" s="81" t="s">
        <v>73</v>
      </c>
      <c r="D16" s="81"/>
    </row>
    <row r="17" spans="1:4" ht="12.75">
      <c r="A17" s="83" t="s">
        <v>72</v>
      </c>
      <c r="B17" s="83">
        <f>1/B16</f>
        <v>0.9996922032146084</v>
      </c>
      <c r="C17" s="83" t="s">
        <v>74</v>
      </c>
      <c r="D17" s="83"/>
    </row>
    <row r="19" spans="1:4" ht="12.75">
      <c r="A19" s="80" t="s">
        <v>75</v>
      </c>
      <c r="B19" s="84"/>
      <c r="C19" s="84"/>
      <c r="D19" s="84"/>
    </row>
    <row r="20" spans="1:4" ht="12.75">
      <c r="A20" s="78" t="s">
        <v>72</v>
      </c>
      <c r="B20" s="78">
        <f>(1+(1-B7)*B11)^(1/260)</f>
        <v>1.000296047817878</v>
      </c>
      <c r="C20" s="78" t="s">
        <v>73</v>
      </c>
      <c r="D20" s="7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Aktievärdering HMS</dc:title>
  <dc:subject>Aktievärdering HMS</dc:subject>
  <dc:creator>Fabian Svensson</dc:creator>
  <cp:keywords>Aktievärdering HMS Networks, riktkurs HMS Networks</cp:keywords>
  <dc:description>Det här är en aktievärdering av HMS Networks AB.</dc:description>
  <cp:lastModifiedBy>Fredrik Stigsson</cp:lastModifiedBy>
  <cp:lastPrinted>2006-05-24T14:37:53Z</cp:lastPrinted>
  <dcterms:created xsi:type="dcterms:W3CDTF">2006-05-24T13:45:37Z</dcterms:created>
  <dcterms:modified xsi:type="dcterms:W3CDTF">2019-09-03T11:20:30Z</dcterms:modified>
  <cp:category/>
  <cp:version/>
  <cp:contentType/>
  <cp:contentStatus/>
  <cp:revision>9</cp:revision>
</cp:coreProperties>
</file>